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0" windowHeight="1140" tabRatio="902" activeTab="7"/>
  </bookViews>
  <sheets>
    <sheet name="TaxCollection" sheetId="1" r:id="rId1"/>
    <sheet name="City Hall Level" sheetId="2" r:id="rId2"/>
    <sheet name="Techno" sheetId="3" r:id="rId3"/>
    <sheet name="Rank" sheetId="4" r:id="rId4"/>
    <sheet name="Costs" sheetId="5" r:id="rId5"/>
    <sheet name="XP Calc" sheetId="6" r:id="rId6"/>
    <sheet name="Alchimie" sheetId="7" r:id="rId7"/>
    <sheet name="Ath_Generaux" sheetId="8" r:id="rId8"/>
    <sheet name="Ath_Item" sheetId="9" r:id="rId9"/>
  </sheets>
  <definedNames>
    <definedName name="_xlnm._FilterDatabase" localSheetId="7" hidden="1">'Ath_Generaux'!$A$1:$L$156</definedName>
    <definedName name="_xlnm._FilterDatabase" localSheetId="0" hidden="1">'TaxCollection'!$A$1:$C$52</definedName>
  </definedNames>
  <calcPr fullCalcOnLoad="1"/>
</workbook>
</file>

<file path=xl/sharedStrings.xml><?xml version="1.0" encoding="utf-8"?>
<sst xmlns="http://schemas.openxmlformats.org/spreadsheetml/2006/main" count="3074" uniqueCount="1739">
  <si>
    <t>Cost</t>
  </si>
  <si>
    <t>Full Onslaught</t>
  </si>
  <si>
    <t>Subterfuge</t>
  </si>
  <si>
    <t>Ambush</t>
  </si>
  <si>
    <t>Siege</t>
  </si>
  <si>
    <t>Iron Will</t>
  </si>
  <si>
    <t>Thunder Strike</t>
  </si>
  <si>
    <t>Spearhead</t>
  </si>
  <si>
    <t>Linebreaker</t>
  </si>
  <si>
    <t>Inspiring Blow</t>
  </si>
  <si>
    <t>Sweeping Offensive</t>
  </si>
  <si>
    <t>Zealous Barrage</t>
  </si>
  <si>
    <t>Stampede</t>
  </si>
  <si>
    <t>Gear</t>
  </si>
  <si>
    <t>Category</t>
  </si>
  <si>
    <t>Lv</t>
  </si>
  <si>
    <t>Stage</t>
  </si>
  <si>
    <t>NPC</t>
  </si>
  <si>
    <t>Sell</t>
  </si>
  <si>
    <t>Weapon</t>
  </si>
  <si>
    <t>Stage Clear</t>
  </si>
  <si>
    <t>Base</t>
  </si>
  <si>
    <t>Legion</t>
  </si>
  <si>
    <t>Fragment</t>
  </si>
  <si>
    <t>Cloak</t>
  </si>
  <si>
    <t>Book</t>
  </si>
  <si>
    <t>x</t>
  </si>
  <si>
    <t>Upgrade</t>
  </si>
  <si>
    <t>Totem</t>
  </si>
  <si>
    <t>Event</t>
  </si>
  <si>
    <t>Answer 1</t>
  </si>
  <si>
    <t>Answer 2</t>
  </si>
  <si>
    <t>A Caravan Arrives</t>
  </si>
  <si>
    <t>Loyalty +4</t>
  </si>
  <si>
    <t>City Level :</t>
  </si>
  <si>
    <t>A Criminal Seduction</t>
  </si>
  <si>
    <t>Loyalty +7</t>
  </si>
  <si>
    <t>Gold +5</t>
  </si>
  <si>
    <t>A Failed Elopement</t>
  </si>
  <si>
    <t>Loyalty +8</t>
  </si>
  <si>
    <t>A Fallen People</t>
  </si>
  <si>
    <t>Loyalty +5</t>
  </si>
  <si>
    <t>A Grizzly Attack</t>
  </si>
  <si>
    <t>A Lama Presides</t>
  </si>
  <si>
    <t>Gold +3</t>
  </si>
  <si>
    <t>A Pestilence</t>
  </si>
  <si>
    <t>A Rare Honor</t>
  </si>
  <si>
    <t>A Visitor from the North</t>
  </si>
  <si>
    <t>Absolute Power Corrupts</t>
  </si>
  <si>
    <t>Gold +10</t>
  </si>
  <si>
    <t>An Abundant Harvest</t>
  </si>
  <si>
    <t>An Encounter in the Woods</t>
  </si>
  <si>
    <t>An Unholy Wind</t>
  </si>
  <si>
    <t>Assassination Attempt</t>
  </si>
  <si>
    <t>Bogged Down</t>
  </si>
  <si>
    <t>Come One Come All</t>
  </si>
  <si>
    <t>Dire Straights</t>
  </si>
  <si>
    <t>Doomsday</t>
  </si>
  <si>
    <t>Encounter with Zuo Ci</t>
  </si>
  <si>
    <t>Enemy Deserter</t>
  </si>
  <si>
    <t>Fertile Grounds</t>
  </si>
  <si>
    <t>Loyalty +5, Tax +1</t>
  </si>
  <si>
    <t>Tax +1</t>
  </si>
  <si>
    <t>Fire and Brimstone</t>
  </si>
  <si>
    <t>Going Gaga</t>
  </si>
  <si>
    <t>Helpless Maiden</t>
  </si>
  <si>
    <t>Injured Enemy Soldier</t>
  </si>
  <si>
    <t>June Blizzard</t>
  </si>
  <si>
    <t>Ma Jun Performs</t>
  </si>
  <si>
    <t>-600 Silver, Tax +1</t>
  </si>
  <si>
    <t>Master Li's Ploy</t>
  </si>
  <si>
    <t>Menacing Tiger</t>
  </si>
  <si>
    <t>Mother and Child</t>
  </si>
  <si>
    <t>Otherworldly Beast</t>
  </si>
  <si>
    <t>Gold +10, Loyalty +4, Tax +1</t>
  </si>
  <si>
    <t>Plague of Locusts</t>
  </si>
  <si>
    <t>Praying for Rain</t>
  </si>
  <si>
    <t>Raising Hell</t>
  </si>
  <si>
    <t>Suspect on the Loose</t>
  </si>
  <si>
    <t>Temple Topple</t>
  </si>
  <si>
    <t>Loyalty +7, Gold +7</t>
  </si>
  <si>
    <t>The Deserter</t>
  </si>
  <si>
    <t>The One-Eyed Statue</t>
  </si>
  <si>
    <t>The Plague Spreads</t>
  </si>
  <si>
    <t>Loyalty +6</t>
  </si>
  <si>
    <t>The Rapscallion</t>
  </si>
  <si>
    <t>The Yellow Sky Will Rise</t>
  </si>
  <si>
    <t>Threatening Python</t>
  </si>
  <si>
    <t>Tibetan Envoy</t>
  </si>
  <si>
    <t>Troubled Waters</t>
  </si>
  <si>
    <t>Loyalty +5, Gold +5</t>
  </si>
  <si>
    <t>Tumbling Down</t>
  </si>
  <si>
    <t>Typhoon Cataclysm</t>
  </si>
  <si>
    <t>Veteran Soldier</t>
  </si>
  <si>
    <t>Walls Come Tumbling Down</t>
  </si>
  <si>
    <t>Yellow Turban Deserter</t>
  </si>
  <si>
    <t>Yellow Turbans Invade</t>
  </si>
  <si>
    <t>Harrasing Conscripts</t>
  </si>
  <si>
    <t>Archer</t>
  </si>
  <si>
    <t>AoE</t>
  </si>
  <si>
    <t>Morale</t>
  </si>
  <si>
    <t>Relentless Assault</t>
  </si>
  <si>
    <t>Phoenix</t>
  </si>
  <si>
    <t>City Hall Lv</t>
  </si>
  <si>
    <t>Start</t>
  </si>
  <si>
    <t>Residence 2</t>
  </si>
  <si>
    <t>Residence 3</t>
  </si>
  <si>
    <t>Residence 4</t>
  </si>
  <si>
    <t>Granary</t>
  </si>
  <si>
    <t>Academy</t>
  </si>
  <si>
    <t>Marketplace</t>
  </si>
  <si>
    <t>Residence 5</t>
  </si>
  <si>
    <t>Extra</t>
  </si>
  <si>
    <t>Enhance Success fluctuate</t>
  </si>
  <si>
    <t>Barracks</t>
  </si>
  <si>
    <t>Reserves fluctuate</t>
  </si>
  <si>
    <t>Residence 6</t>
  </si>
  <si>
    <t>Residence 7</t>
  </si>
  <si>
    <t>Counting House</t>
  </si>
  <si>
    <t>Residence 8</t>
  </si>
  <si>
    <t>Mint</t>
  </si>
  <si>
    <t>Lose Rally when lose</t>
  </si>
  <si>
    <t>Residence 9</t>
  </si>
  <si>
    <t>Caravan Post</t>
  </si>
  <si>
    <t>Custom House</t>
  </si>
  <si>
    <t>Residence 10</t>
  </si>
  <si>
    <t>Free scout</t>
  </si>
  <si>
    <t>Textile Mill</t>
  </si>
  <si>
    <t>Training Ground 2</t>
  </si>
  <si>
    <t>Assistant lv1</t>
  </si>
  <si>
    <t>Novice 1</t>
  </si>
  <si>
    <t>Novice 2</t>
  </si>
  <si>
    <t>Novice 3</t>
  </si>
  <si>
    <t>Novice 4</t>
  </si>
  <si>
    <t>Novice 5</t>
  </si>
  <si>
    <t>Novice 6</t>
  </si>
  <si>
    <t>Novice 7</t>
  </si>
  <si>
    <t>Novice 8</t>
  </si>
  <si>
    <t>Novice 9</t>
  </si>
  <si>
    <t>Novice 10</t>
  </si>
  <si>
    <t>Fighter 1</t>
  </si>
  <si>
    <t>Fighter 2</t>
  </si>
  <si>
    <t>Fighter 3</t>
  </si>
  <si>
    <t>Fighter 4</t>
  </si>
  <si>
    <t>Fighter 5</t>
  </si>
  <si>
    <t>Fighter 6</t>
  </si>
  <si>
    <t>Fighter 7</t>
  </si>
  <si>
    <t>Fighter 8</t>
  </si>
  <si>
    <t>Fighter 9</t>
  </si>
  <si>
    <t>Fighter 10</t>
  </si>
  <si>
    <t>Soldier 1</t>
  </si>
  <si>
    <t>Soldier 2</t>
  </si>
  <si>
    <t>Soldier 3</t>
  </si>
  <si>
    <t>Soldier 4</t>
  </si>
  <si>
    <t>Soldier 5</t>
  </si>
  <si>
    <t>Soldier 6</t>
  </si>
  <si>
    <t>Soldier 7</t>
  </si>
  <si>
    <t>Soldier 8</t>
  </si>
  <si>
    <t>Soldier 9</t>
  </si>
  <si>
    <t>Soldier 10</t>
  </si>
  <si>
    <t>Troop lv</t>
  </si>
  <si>
    <t>Veteran 1</t>
  </si>
  <si>
    <t>Veteran 2</t>
  </si>
  <si>
    <t>Veteran 3</t>
  </si>
  <si>
    <t>Veteran 4</t>
  </si>
  <si>
    <t>Veteran 5</t>
  </si>
  <si>
    <t>Veteran 6</t>
  </si>
  <si>
    <t>Veteran 7</t>
  </si>
  <si>
    <t>Veteran 8</t>
  </si>
  <si>
    <t>Veteran 9</t>
  </si>
  <si>
    <t>Veteran 10</t>
  </si>
  <si>
    <t>General lv</t>
  </si>
  <si>
    <t>28, 29</t>
  </si>
  <si>
    <t>General Lv</t>
  </si>
  <si>
    <t>Assistant lv4 (400 Gold)</t>
  </si>
  <si>
    <t>Assistant lv3 (150 Gold)</t>
  </si>
  <si>
    <t>Next lv</t>
  </si>
  <si>
    <t>3, 4</t>
  </si>
  <si>
    <t>1, 2</t>
  </si>
  <si>
    <t>6, 7</t>
  </si>
  <si>
    <t>11, 12</t>
  </si>
  <si>
    <t>33, 34</t>
  </si>
  <si>
    <t>The Sizzling Rocks</t>
  </si>
  <si>
    <t>53, 54</t>
  </si>
  <si>
    <t>8, 9</t>
  </si>
  <si>
    <t>36, 37</t>
  </si>
  <si>
    <t>TG Lv</t>
  </si>
  <si>
    <t>Total XP</t>
  </si>
  <si>
    <t>21, 22</t>
  </si>
  <si>
    <t>23, 24</t>
  </si>
  <si>
    <t>13, 14</t>
  </si>
  <si>
    <t>Champion 1</t>
  </si>
  <si>
    <t>Champion 2</t>
  </si>
  <si>
    <t>Champion 3</t>
  </si>
  <si>
    <t>Champion 4</t>
  </si>
  <si>
    <t>Champion 5</t>
  </si>
  <si>
    <t>Champion 6</t>
  </si>
  <si>
    <t>Champion 7</t>
  </si>
  <si>
    <t>Champion 8</t>
  </si>
  <si>
    <t>Champion 9</t>
  </si>
  <si>
    <t>Champion 10</t>
  </si>
  <si>
    <t>41, 42</t>
  </si>
  <si>
    <t>Elite 1</t>
  </si>
  <si>
    <t>Elite 2</t>
  </si>
  <si>
    <t>Elite 3</t>
  </si>
  <si>
    <t>Elite 4</t>
  </si>
  <si>
    <t>Elite 5</t>
  </si>
  <si>
    <t>Elite 6</t>
  </si>
  <si>
    <t>Elite 7</t>
  </si>
  <si>
    <t>Elite 8</t>
  </si>
  <si>
    <t>Elite 9</t>
  </si>
  <si>
    <t>Elite 10</t>
  </si>
  <si>
    <t>16, 17</t>
  </si>
  <si>
    <t>38, 39</t>
  </si>
  <si>
    <t>August 1</t>
  </si>
  <si>
    <t>August 2</t>
  </si>
  <si>
    <t>August 3</t>
  </si>
  <si>
    <t>August 4</t>
  </si>
  <si>
    <t>August 5</t>
  </si>
  <si>
    <t>August 6</t>
  </si>
  <si>
    <t>August 7</t>
  </si>
  <si>
    <t>August 8</t>
  </si>
  <si>
    <t>August 9</t>
  </si>
  <si>
    <t>August 10</t>
  </si>
  <si>
    <t>18, 19</t>
  </si>
  <si>
    <t>The South Village Villain</t>
  </si>
  <si>
    <t>Fairy in the Wood</t>
  </si>
  <si>
    <t>The Athens Games</t>
  </si>
  <si>
    <t>Starvation Encounter</t>
  </si>
  <si>
    <t>Raging White Bear</t>
  </si>
  <si>
    <t>Horn Snake</t>
  </si>
  <si>
    <t>Fire Thunder</t>
  </si>
  <si>
    <t>Man in Mask</t>
  </si>
  <si>
    <t>Running into Deserter</t>
  </si>
  <si>
    <t>Levee Breach</t>
  </si>
  <si>
    <t>Outlaws of the Enemy</t>
  </si>
  <si>
    <t>The Unpleasant Citizens</t>
  </si>
  <si>
    <t>Respect the Hephaestus</t>
  </si>
  <si>
    <t>Gifts from the Citizens</t>
  </si>
  <si>
    <t>Bountiful Harvest</t>
  </si>
  <si>
    <t>The Female Burglar</t>
  </si>
  <si>
    <t>The Evil Giant</t>
  </si>
  <si>
    <t>Mandatory Military Duty</t>
  </si>
  <si>
    <t>The Injured Enemy</t>
  </si>
  <si>
    <t>The Plague Outbreak</t>
  </si>
  <si>
    <t>The Savages from the North</t>
  </si>
  <si>
    <t>The Savage Deserter</t>
  </si>
  <si>
    <t>The Black Mage</t>
  </si>
  <si>
    <t>The Odysseus Encounter</t>
  </si>
  <si>
    <t>Pray for Rain</t>
  </si>
  <si>
    <t>The Gold-coated Wooden Case</t>
  </si>
  <si>
    <t>The Kidnapper Attack</t>
  </si>
  <si>
    <t>The Waterfront Aphrodite</t>
  </si>
  <si>
    <t>The Widow and Her Son</t>
  </si>
  <si>
    <t>The New Monk in Town</t>
  </si>
  <si>
    <t>TaxCD -10m</t>
  </si>
  <si>
    <t>The Diplomatic Visit</t>
  </si>
  <si>
    <t>The Apocalypse</t>
  </si>
  <si>
    <t>Fixing the Muddy Path</t>
  </si>
  <si>
    <t>Graeae's Scroll</t>
  </si>
  <si>
    <t>The Anger of the God of Moon</t>
  </si>
  <si>
    <t>Tiger in the Woods</t>
  </si>
  <si>
    <t>Rural Rich Soil</t>
  </si>
  <si>
    <t>The Collapsed Temple</t>
  </si>
  <si>
    <t>Hades' Smile</t>
  </si>
  <si>
    <t>The Grand Celebration</t>
  </si>
  <si>
    <t>Loyalty +5, TaxCD -10m</t>
  </si>
  <si>
    <t>Big Rats</t>
  </si>
  <si>
    <t>The Egyptian Ambassadors</t>
  </si>
  <si>
    <t>The Injured Soldiers</t>
  </si>
  <si>
    <t>The Rage of Poseidon</t>
  </si>
  <si>
    <t>The Delivery of the Gospel</t>
  </si>
  <si>
    <t>The Flood</t>
  </si>
  <si>
    <t>The Hornless Unicorn</t>
  </si>
  <si>
    <t>The Aristotle Encounter</t>
  </si>
  <si>
    <t>Gold +5, TaxCD -30m, Tax +1</t>
  </si>
  <si>
    <t>The Dark Assassin</t>
  </si>
  <si>
    <t>The Waitress of Wine God</t>
  </si>
  <si>
    <t>43, 44</t>
  </si>
  <si>
    <t>26, 27</t>
  </si>
  <si>
    <t>31, 32</t>
  </si>
  <si>
    <t>46, 47</t>
  </si>
  <si>
    <t>48, 49</t>
  </si>
  <si>
    <t>51, 52</t>
  </si>
  <si>
    <t>Batheo</t>
  </si>
  <si>
    <t>Honored 1</t>
  </si>
  <si>
    <t>Honored 2</t>
  </si>
  <si>
    <t>Honored 3</t>
  </si>
  <si>
    <t>Honored 4</t>
  </si>
  <si>
    <t>Honored 5</t>
  </si>
  <si>
    <t>Honored 6</t>
  </si>
  <si>
    <t>Honored 7</t>
  </si>
  <si>
    <t>Honored 8</t>
  </si>
  <si>
    <t>Honored 9</t>
  </si>
  <si>
    <t>Honored 10</t>
  </si>
  <si>
    <t>Daily Quests, Assistant lv2 (50 Gold)</t>
  </si>
  <si>
    <t>DS</t>
  </si>
  <si>
    <t>Kratos</t>
  </si>
  <si>
    <t>Conan</t>
  </si>
  <si>
    <t>Hector</t>
  </si>
  <si>
    <t>Chiron</t>
  </si>
  <si>
    <t>Asclepius</t>
  </si>
  <si>
    <t>Thoosa</t>
  </si>
  <si>
    <t>Amphitrite</t>
  </si>
  <si>
    <t>Syrinx</t>
  </si>
  <si>
    <t>Aphrodite</t>
  </si>
  <si>
    <t>Doris</t>
  </si>
  <si>
    <t>Cocytus</t>
  </si>
  <si>
    <t>Lotis</t>
  </si>
  <si>
    <t>Calypso</t>
  </si>
  <si>
    <t>Palaemon</t>
  </si>
  <si>
    <t>Telchines</t>
  </si>
  <si>
    <t>Aeolus</t>
  </si>
  <si>
    <t>Leuce</t>
  </si>
  <si>
    <t>Oizys</t>
  </si>
  <si>
    <t>Phorcys</t>
  </si>
  <si>
    <t>Triton</t>
  </si>
  <si>
    <t>Minos</t>
  </si>
  <si>
    <t>Eurotas</t>
  </si>
  <si>
    <t>Iasion</t>
  </si>
  <si>
    <t>Arce</t>
  </si>
  <si>
    <t>Euphrosyne</t>
  </si>
  <si>
    <t>Iris</t>
  </si>
  <si>
    <t>Priapus</t>
  </si>
  <si>
    <t>Orion</t>
  </si>
  <si>
    <t>Ophion</t>
  </si>
  <si>
    <t>Pan</t>
  </si>
  <si>
    <t>Zeus</t>
  </si>
  <si>
    <t>Phologios</t>
  </si>
  <si>
    <t>Eris</t>
  </si>
  <si>
    <t>Thaumas</t>
  </si>
  <si>
    <t>Thalassa</t>
  </si>
  <si>
    <t>Atlas</t>
  </si>
  <si>
    <t>Block Form, Attack +10</t>
  </si>
  <si>
    <t>Gambit Form, Defense +7</t>
  </si>
  <si>
    <t>Gambit Atk +25</t>
  </si>
  <si>
    <t>Dodge Form, Spell Atk +12</t>
  </si>
  <si>
    <t>Attack Form, Units +10</t>
  </si>
  <si>
    <t>Spell Atk Form, Spell Def +8</t>
  </si>
  <si>
    <t>Counter Form, Units +20</t>
  </si>
  <si>
    <t>Decrease unit losses</t>
  </si>
  <si>
    <t>Reduce damages</t>
  </si>
  <si>
    <t>Decrease reserves used</t>
  </si>
  <si>
    <t>Increase/Decrease chance destroy building</t>
  </si>
  <si>
    <t>20h00</t>
  </si>
  <si>
    <t>3h30</t>
  </si>
  <si>
    <t>Reset Elite + Free Rally</t>
  </si>
  <si>
    <t>Batheo (- 7h)</t>
  </si>
  <si>
    <t>Mine Wars</t>
  </si>
  <si>
    <t>11h00 (Summer)</t>
  </si>
  <si>
    <t>Building</t>
  </si>
  <si>
    <t>5h00</t>
  </si>
  <si>
    <t>13h00 (Summer)</t>
  </si>
  <si>
    <t>12h30</t>
  </si>
  <si>
    <t>8h30</t>
  </si>
  <si>
    <t>19h00</t>
  </si>
  <si>
    <t>Reset Elite</t>
  </si>
  <si>
    <t>21h00</t>
  </si>
  <si>
    <t>23h30</t>
  </si>
  <si>
    <t>10h00</t>
  </si>
  <si>
    <t>12h00</t>
  </si>
  <si>
    <t>Real Time</t>
  </si>
  <si>
    <t>13h00</t>
  </si>
  <si>
    <t>3h00</t>
  </si>
  <si>
    <t>4h00</t>
  </si>
  <si>
    <t>16h30</t>
  </si>
  <si>
    <t>20h30</t>
  </si>
  <si>
    <t>Iaso</t>
  </si>
  <si>
    <t>Aura</t>
  </si>
  <si>
    <t>Atropos</t>
  </si>
  <si>
    <t>Clotho</t>
  </si>
  <si>
    <t>Hestia</t>
  </si>
  <si>
    <t>Philotes</t>
  </si>
  <si>
    <t>Ponos</t>
  </si>
  <si>
    <t>56, 57</t>
  </si>
  <si>
    <t>58, 59</t>
  </si>
  <si>
    <t>61, 62</t>
  </si>
  <si>
    <t>63, 64</t>
  </si>
  <si>
    <t>0h00</t>
  </si>
  <si>
    <t>17h00</t>
  </si>
  <si>
    <t>3m50/4m30</t>
  </si>
  <si>
    <t>Grand 1</t>
  </si>
  <si>
    <t>Grand 2</t>
  </si>
  <si>
    <t>Grand 3</t>
  </si>
  <si>
    <t>Grand 4</t>
  </si>
  <si>
    <t>Grand 5</t>
  </si>
  <si>
    <t>Grand 6</t>
  </si>
  <si>
    <t>Grand 7</t>
  </si>
  <si>
    <t>Grand 8</t>
  </si>
  <si>
    <t>Grand 9</t>
  </si>
  <si>
    <t>Grand 10</t>
  </si>
  <si>
    <t>15k Prestige</t>
  </si>
  <si>
    <t>190k Prestige</t>
  </si>
  <si>
    <t>7th general</t>
  </si>
  <si>
    <t>5th general</t>
  </si>
  <si>
    <t>66, 67</t>
  </si>
  <si>
    <t>68, 69</t>
  </si>
  <si>
    <t>71, 72</t>
  </si>
  <si>
    <t>73, 74</t>
  </si>
  <si>
    <t>6th general</t>
  </si>
  <si>
    <t>70k Prestige</t>
  </si>
  <si>
    <t>Orianthi</t>
  </si>
  <si>
    <t>Augustus</t>
  </si>
  <si>
    <t>Beowulf</t>
  </si>
  <si>
    <t>Reset Market/Free Scout</t>
  </si>
  <si>
    <t>76, 77</t>
  </si>
  <si>
    <t>78, 79</t>
  </si>
  <si>
    <t>81, 82</t>
  </si>
  <si>
    <t>83, 84</t>
  </si>
  <si>
    <t>Heal</t>
  </si>
  <si>
    <t>Troop Lv</t>
  </si>
  <si>
    <t>Spell Tech Lv</t>
  </si>
  <si>
    <t>Charon</t>
  </si>
  <si>
    <t>Noble 1</t>
  </si>
  <si>
    <t>Noble 2</t>
  </si>
  <si>
    <t>Noble 3</t>
  </si>
  <si>
    <t>Noble 4</t>
  </si>
  <si>
    <t>Noble 5</t>
  </si>
  <si>
    <t>Noble 6</t>
  </si>
  <si>
    <t>Noble 7</t>
  </si>
  <si>
    <t>Noble 8</t>
  </si>
  <si>
    <t>Noble 9</t>
  </si>
  <si>
    <t>Noble 10</t>
  </si>
  <si>
    <t>420k Prestige</t>
  </si>
  <si>
    <t>8th general</t>
  </si>
  <si>
    <t>VIP Mall</t>
  </si>
  <si>
    <t>Yaowan (+7h)</t>
  </si>
  <si>
    <t>20h30 (Summer)</t>
  </si>
  <si>
    <t>BP</t>
  </si>
  <si>
    <t>Lv Expected</t>
  </si>
  <si>
    <t>XP Gained</t>
  </si>
  <si>
    <t>TG Hours Left</t>
  </si>
  <si>
    <t>Perc Rate</t>
  </si>
  <si>
    <t>TG XP Fast T</t>
  </si>
  <si>
    <t>Political</t>
  </si>
  <si>
    <t>Cultural</t>
  </si>
  <si>
    <t>Economic</t>
  </si>
  <si>
    <t>Commercial</t>
  </si>
  <si>
    <t>Military</t>
  </si>
  <si>
    <t>Can't be target of Regional Battles (Shu)</t>
  </si>
  <si>
    <t>Can't be target of Regional Battles (Wei)</t>
  </si>
  <si>
    <t>Can't be target of Regional Battles (Wu)</t>
  </si>
  <si>
    <t>Accept players from all Kingdoms</t>
  </si>
  <si>
    <t>Investment returns double Prosperity</t>
  </si>
  <si>
    <t>You can invest in other Level 100 Regions</t>
  </si>
  <si>
    <t>Attacks on other Regions will decrease Kingdom Allegiance by double</t>
  </si>
  <si>
    <t>Calc Minutes</t>
  </si>
  <si>
    <t>Cost FT in BP</t>
  </si>
  <si>
    <t>XP Need at TG end</t>
  </si>
  <si>
    <t>NB Fast Track</t>
  </si>
  <si>
    <t>Nb 8h Session</t>
  </si>
  <si>
    <t>NB 24h Session</t>
  </si>
  <si>
    <t>2h30</t>
  </si>
  <si>
    <t>6h30</t>
  </si>
  <si>
    <t>14h30</t>
  </si>
  <si>
    <t>15h00</t>
  </si>
  <si>
    <t>23h00</t>
  </si>
  <si>
    <t>18h00</t>
  </si>
  <si>
    <t>10h30</t>
  </si>
  <si>
    <t>7h00</t>
  </si>
  <si>
    <t>2h00</t>
  </si>
  <si>
    <t>Reset Levy/Vans/Quests/Scenar/Textile</t>
  </si>
  <si>
    <t>DS (+ 2h)</t>
  </si>
  <si>
    <t>Queen of Cloaks</t>
  </si>
  <si>
    <t>La Fée des Bois</t>
  </si>
  <si>
    <t>Athanaton FR</t>
  </si>
  <si>
    <t>Homme Masqué</t>
  </si>
  <si>
    <t>Tonnerre de Feu</t>
  </si>
  <si>
    <t>Le Déserteur</t>
  </si>
  <si>
    <t>Les Sauvages du Nord</t>
  </si>
  <si>
    <t>Brèche dans la Digue</t>
  </si>
  <si>
    <t>Les Jeux d'Athènes</t>
  </si>
  <si>
    <t>Serpent à Corne</t>
  </si>
  <si>
    <t>Le Bandit du village du sud</t>
  </si>
  <si>
    <t>Success</t>
  </si>
  <si>
    <t>Crit</t>
  </si>
  <si>
    <t>Sell(x2)</t>
  </si>
  <si>
    <t>Profit</t>
  </si>
  <si>
    <t>Profit(x2)</t>
  </si>
  <si>
    <t>Price Index :</t>
  </si>
  <si>
    <t>Critical Form, Gambit Def +18</t>
  </si>
  <si>
    <t>Armure Peau de Porc</t>
  </si>
  <si>
    <t>Armure</t>
  </si>
  <si>
    <t>Arme</t>
  </si>
  <si>
    <t>Livre</t>
  </si>
  <si>
    <t>Cheval</t>
  </si>
  <si>
    <t>Cor</t>
  </si>
  <si>
    <t>Ocypète</t>
  </si>
  <si>
    <t>Stage Fini</t>
  </si>
  <si>
    <t>Epreuve de Persée</t>
  </si>
  <si>
    <t>Lance Mammouth</t>
  </si>
  <si>
    <t>Armure de Cuivre</t>
  </si>
  <si>
    <t>Ménélas</t>
  </si>
  <si>
    <t>Epée des Remords</t>
  </si>
  <si>
    <t>Ajax le grand</t>
  </si>
  <si>
    <t>Perséphone</t>
  </si>
  <si>
    <t>Epée de Goujian</t>
  </si>
  <si>
    <t>Epée d'Acier Damassé</t>
  </si>
  <si>
    <t>Guerre de Troie</t>
  </si>
  <si>
    <t>Défense d'Athènes</t>
  </si>
  <si>
    <t>Hache Hantée</t>
  </si>
  <si>
    <t>Polynices</t>
  </si>
  <si>
    <t>Shamshir</t>
  </si>
  <si>
    <t>Polybus</t>
  </si>
  <si>
    <t>Armure Ensanglantée</t>
  </si>
  <si>
    <t>Eléphant de Pharaon</t>
  </si>
  <si>
    <t>Bêtes du Désert</t>
  </si>
  <si>
    <t>Double Hache Barbare</t>
  </si>
  <si>
    <t>Détermination de Jeune Fille</t>
  </si>
  <si>
    <t>Typhon</t>
  </si>
  <si>
    <t>Epée de Cyclope</t>
  </si>
  <si>
    <t>Circé</t>
  </si>
  <si>
    <t>Armure du Triomphe</t>
  </si>
  <si>
    <t>Labyrinthe de Crète</t>
  </si>
  <si>
    <t>Jacques et le Haricot Magique</t>
  </si>
  <si>
    <t>Flèche Empoisonnée</t>
  </si>
  <si>
    <t>Pasiphaé</t>
  </si>
  <si>
    <t>Armure d'Hadès</t>
  </si>
  <si>
    <t>Thésée</t>
  </si>
  <si>
    <t>Armure Raffinée</t>
  </si>
  <si>
    <t>Héros</t>
  </si>
  <si>
    <t>Bellérophon</t>
  </si>
  <si>
    <t>Méduse</t>
  </si>
  <si>
    <t>Persée</t>
  </si>
  <si>
    <t>Ulysse</t>
  </si>
  <si>
    <t>Exalted 1</t>
  </si>
  <si>
    <t>Exalted 2</t>
  </si>
  <si>
    <t>Exalted 3</t>
  </si>
  <si>
    <t>Exalted 4</t>
  </si>
  <si>
    <t>Exalted 5</t>
  </si>
  <si>
    <t>Exalted 6</t>
  </si>
  <si>
    <t>Exalted 7</t>
  </si>
  <si>
    <t>Exalted 8</t>
  </si>
  <si>
    <t>Exalted 9</t>
  </si>
  <si>
    <t>Exalted 10</t>
  </si>
  <si>
    <t>Warlord 1</t>
  </si>
  <si>
    <t>Warlord 2</t>
  </si>
  <si>
    <t>Warlord 3</t>
  </si>
  <si>
    <t>Warlord 4</t>
  </si>
  <si>
    <t>Warlord 5</t>
  </si>
  <si>
    <t>Warlord 6</t>
  </si>
  <si>
    <t>Warlord 7</t>
  </si>
  <si>
    <t>Warlord 8</t>
  </si>
  <si>
    <t>Warlord 9</t>
  </si>
  <si>
    <t>Warlord 10</t>
  </si>
  <si>
    <t>Prince 1</t>
  </si>
  <si>
    <t>Prince 2</t>
  </si>
  <si>
    <t>Prince 3</t>
  </si>
  <si>
    <t>Prince 4</t>
  </si>
  <si>
    <t>Prince 5</t>
  </si>
  <si>
    <t>Prince 6</t>
  </si>
  <si>
    <t>Prince 7</t>
  </si>
  <si>
    <t>Prince 8</t>
  </si>
  <si>
    <t>Prince 9</t>
  </si>
  <si>
    <t>Prince 10</t>
  </si>
  <si>
    <t>Monarch 1</t>
  </si>
  <si>
    <t>Monarch 2</t>
  </si>
  <si>
    <t>Monarch 3</t>
  </si>
  <si>
    <t>Monarch 4</t>
  </si>
  <si>
    <t>Monarch 5</t>
  </si>
  <si>
    <t>Monarch 6</t>
  </si>
  <si>
    <t>Monarch 7</t>
  </si>
  <si>
    <t>Monarch 8</t>
  </si>
  <si>
    <t>Monarch 9</t>
  </si>
  <si>
    <t>Monarch 10</t>
  </si>
  <si>
    <t>Emperor 1</t>
  </si>
  <si>
    <t>Emperor 2</t>
  </si>
  <si>
    <t>Emperor 3</t>
  </si>
  <si>
    <t>Emperor 4</t>
  </si>
  <si>
    <t>Emperor 5</t>
  </si>
  <si>
    <t>Emperor 6</t>
  </si>
  <si>
    <t>Emperor 7</t>
  </si>
  <si>
    <t>Emperor 8</t>
  </si>
  <si>
    <t>Emperor 9</t>
  </si>
  <si>
    <t>Emperor 10</t>
  </si>
  <si>
    <t>Heroic 1</t>
  </si>
  <si>
    <t>Heroic 2</t>
  </si>
  <si>
    <t>Heroic 3</t>
  </si>
  <si>
    <t>Heroic 4</t>
  </si>
  <si>
    <t>Heroic 5</t>
  </si>
  <si>
    <t>Heroic 6</t>
  </si>
  <si>
    <t>Heroic 7</t>
  </si>
  <si>
    <t>Heroic 8</t>
  </si>
  <si>
    <t>Heroic 9</t>
  </si>
  <si>
    <t>Heroic 10</t>
  </si>
  <si>
    <t>Epic 1</t>
  </si>
  <si>
    <t>Epic 2</t>
  </si>
  <si>
    <t>Epic 3</t>
  </si>
  <si>
    <t>Epic 4</t>
  </si>
  <si>
    <t>Epic 5</t>
  </si>
  <si>
    <t>Epic 6</t>
  </si>
  <si>
    <t>Epic 7</t>
  </si>
  <si>
    <t>Epic 8</t>
  </si>
  <si>
    <t>Epic 9</t>
  </si>
  <si>
    <t>Epic 10</t>
  </si>
  <si>
    <t>Legendary 1</t>
  </si>
  <si>
    <t>Legendary 2</t>
  </si>
  <si>
    <t>Legendary 3</t>
  </si>
  <si>
    <t>Legendary 4</t>
  </si>
  <si>
    <t>Legendary 5</t>
  </si>
  <si>
    <t>Legendary 6</t>
  </si>
  <si>
    <t>Legendary 7</t>
  </si>
  <si>
    <t>Legendary 8</t>
  </si>
  <si>
    <t>Legendary 9</t>
  </si>
  <si>
    <t>Legendary 10</t>
  </si>
  <si>
    <t>Godlike 1</t>
  </si>
  <si>
    <t>Godlike 2</t>
  </si>
  <si>
    <t>Godlike 3</t>
  </si>
  <si>
    <t>Godlike 4</t>
  </si>
  <si>
    <t>Godlike 5</t>
  </si>
  <si>
    <t>Godlike 6</t>
  </si>
  <si>
    <t>Godlike 7</t>
  </si>
  <si>
    <t>Godlike 8</t>
  </si>
  <si>
    <t>Godlike 9</t>
  </si>
  <si>
    <t>Godlike 10</t>
  </si>
  <si>
    <t>Divine 1</t>
  </si>
  <si>
    <t>Divine 2</t>
  </si>
  <si>
    <t>Divine 3</t>
  </si>
  <si>
    <t>Divine 4</t>
  </si>
  <si>
    <t>Divine 5</t>
  </si>
  <si>
    <t>Divine 6</t>
  </si>
  <si>
    <t>Divine 7</t>
  </si>
  <si>
    <t>Divine 8</t>
  </si>
  <si>
    <t>Divine 9</t>
  </si>
  <si>
    <t>Divine 10</t>
  </si>
  <si>
    <t>Manteau Gris Magique</t>
  </si>
  <si>
    <t>G1-1</t>
  </si>
  <si>
    <t>G1-2</t>
  </si>
  <si>
    <t>G1-3</t>
  </si>
  <si>
    <t>G1-4</t>
  </si>
  <si>
    <t>G1-5</t>
  </si>
  <si>
    <t>G1-6</t>
  </si>
  <si>
    <t>G1-7</t>
  </si>
  <si>
    <t>G1-8</t>
  </si>
  <si>
    <t>G1-9</t>
  </si>
  <si>
    <t>G1-10</t>
  </si>
  <si>
    <t>G2-1</t>
  </si>
  <si>
    <t>G2-2</t>
  </si>
  <si>
    <t>G2-3</t>
  </si>
  <si>
    <t>G2-4</t>
  </si>
  <si>
    <t>G2-5</t>
  </si>
  <si>
    <t>G2-6</t>
  </si>
  <si>
    <t>G2-7</t>
  </si>
  <si>
    <t>G2-8</t>
  </si>
  <si>
    <t>G2-9</t>
  </si>
  <si>
    <t>G2-10</t>
  </si>
  <si>
    <t>G3-1</t>
  </si>
  <si>
    <t>G3-2</t>
  </si>
  <si>
    <t>G3-3</t>
  </si>
  <si>
    <t>G3-4</t>
  </si>
  <si>
    <t>G3-5</t>
  </si>
  <si>
    <t>G3-6</t>
  </si>
  <si>
    <t>G3-7</t>
  </si>
  <si>
    <t>G3-8</t>
  </si>
  <si>
    <t>G3-9</t>
  </si>
  <si>
    <t>G3-10</t>
  </si>
  <si>
    <t>G4-1</t>
  </si>
  <si>
    <t>G4-2</t>
  </si>
  <si>
    <t>G4-3</t>
  </si>
  <si>
    <t>G4-4</t>
  </si>
  <si>
    <t>G4-5</t>
  </si>
  <si>
    <t>G4-6</t>
  </si>
  <si>
    <t>G4-7</t>
  </si>
  <si>
    <t>G4-8</t>
  </si>
  <si>
    <t>G4-9</t>
  </si>
  <si>
    <t>G4-10</t>
  </si>
  <si>
    <t>G5-1</t>
  </si>
  <si>
    <t>G5-2</t>
  </si>
  <si>
    <t>G5-3</t>
  </si>
  <si>
    <t>G5-4</t>
  </si>
  <si>
    <t>G5-5</t>
  </si>
  <si>
    <t>G5-6</t>
  </si>
  <si>
    <t>G5-7</t>
  </si>
  <si>
    <t>G5-8</t>
  </si>
  <si>
    <t>G5-9</t>
  </si>
  <si>
    <t>G5-10</t>
  </si>
  <si>
    <t>Atha</t>
  </si>
  <si>
    <t>Aphrodite au Bord de l'Eau</t>
  </si>
  <si>
    <t>Rencontre avec la Famine</t>
  </si>
  <si>
    <t>Armure de Platon</t>
  </si>
  <si>
    <t>Robin des Bois</t>
  </si>
  <si>
    <t>Lacédémon</t>
  </si>
  <si>
    <t>Electre</t>
  </si>
  <si>
    <t>Héraclès</t>
  </si>
  <si>
    <t>Artémis</t>
  </si>
  <si>
    <t>Pâris</t>
  </si>
  <si>
    <t>Adrestos</t>
  </si>
  <si>
    <t>Achille</t>
  </si>
  <si>
    <t>Minotaure</t>
  </si>
  <si>
    <t>Argus Panoptès</t>
  </si>
  <si>
    <t>Anthée</t>
  </si>
  <si>
    <t>Général de départ</t>
  </si>
  <si>
    <t>Cout</t>
  </si>
  <si>
    <t>Déblocage</t>
  </si>
  <si>
    <t>FOR</t>
  </si>
  <si>
    <t>ESP</t>
  </si>
  <si>
    <t>ENE</t>
  </si>
  <si>
    <t>Type Troupe</t>
  </si>
  <si>
    <t>Nom Troupe</t>
  </si>
  <si>
    <t>Augment</t>
  </si>
  <si>
    <t>Spécialisation troupes</t>
  </si>
  <si>
    <t>Compétence Bataille</t>
  </si>
  <si>
    <t>Description Compétence</t>
  </si>
  <si>
    <t>Infanterie</t>
  </si>
  <si>
    <t>Cavalerie</t>
  </si>
  <si>
    <t>Mage</t>
  </si>
  <si>
    <t>Soigneur</t>
  </si>
  <si>
    <t>Autres</t>
  </si>
  <si>
    <t>500 Prestige (Athena)</t>
  </si>
  <si>
    <t>6000 Prestige (Athena)</t>
  </si>
  <si>
    <t>20000 Prestige (Athena)</t>
  </si>
  <si>
    <t>25000 Prestige (Athena)</t>
  </si>
  <si>
    <t>30000 Prestige (Athena)</t>
  </si>
  <si>
    <t>38000 Prestige (Athena)</t>
  </si>
  <si>
    <t>43000 Prestige (Athena)</t>
  </si>
  <si>
    <t>50000 Prestige (Athena)</t>
  </si>
  <si>
    <t>60000 Prestige (Athena)</t>
  </si>
  <si>
    <t>80000 Prestige (Athena)</t>
  </si>
  <si>
    <t>90000 Prestige (Athena)</t>
  </si>
  <si>
    <t>100000 Prestige (Athena)</t>
  </si>
  <si>
    <t>130000 Prestige (Athena)</t>
  </si>
  <si>
    <t>150000 Prestige (Athena)</t>
  </si>
  <si>
    <t>170000 Prestige (Athena)</t>
  </si>
  <si>
    <t>190000 Prestige (Athena)</t>
  </si>
  <si>
    <t>210000 Prestige (Athena)</t>
  </si>
  <si>
    <t>240000 Prestige (Athena)</t>
  </si>
  <si>
    <t>260000 Prestige (Athena)</t>
  </si>
  <si>
    <t>310000 Prestige (Athena)</t>
  </si>
  <si>
    <t>340000 Prestige (Athena)</t>
  </si>
  <si>
    <t>370000 Prestige (Athena)</t>
  </si>
  <si>
    <t>420000 Prestige (Athena)</t>
  </si>
  <si>
    <t>440000 Prestige (Athena)</t>
  </si>
  <si>
    <t>450000 Prestige (Athena)</t>
  </si>
  <si>
    <t>460000 Prestige (Athena)</t>
  </si>
  <si>
    <t>470000 Prestige (Athena)</t>
  </si>
  <si>
    <t>480000 Prestige (Athena)</t>
  </si>
  <si>
    <t>490000 Prestige (Athena)</t>
  </si>
  <si>
    <t>500000 Prestige (Athena)</t>
  </si>
  <si>
    <t>500 Prestige (Zeus)</t>
  </si>
  <si>
    <t>6000 Prestige (Zeus)</t>
  </si>
  <si>
    <t>20000 Prestige (Zeus)</t>
  </si>
  <si>
    <t>25000 Prestige (Zeus)</t>
  </si>
  <si>
    <t>30000 Prestige (Zeus)</t>
  </si>
  <si>
    <t>38000 Prestige (Zeus)</t>
  </si>
  <si>
    <t>43000 Prestige (Zeus)</t>
  </si>
  <si>
    <t>50000 Prestige (Zeus)</t>
  </si>
  <si>
    <t>60000 Prestige (Zeus)</t>
  </si>
  <si>
    <t>80000 Prestige (Zeus)</t>
  </si>
  <si>
    <t>90000 Prestige (Zeus)</t>
  </si>
  <si>
    <t>100000 Prestige (Zeus)</t>
  </si>
  <si>
    <t>130000 Prestige (Zeus)</t>
  </si>
  <si>
    <t>150000 Prestige (Zeus)</t>
  </si>
  <si>
    <t>170000 Prestige (Zeus)</t>
  </si>
  <si>
    <t>190000 Prestige (Zeus)</t>
  </si>
  <si>
    <t>210000 Prestige (Zeus)</t>
  </si>
  <si>
    <t>240000 Prestige (Zeus)</t>
  </si>
  <si>
    <t>260000 Prestige (Zeus)</t>
  </si>
  <si>
    <t>310000 Prestige (Zeus)</t>
  </si>
  <si>
    <t>340000 Prestige (Zeus)</t>
  </si>
  <si>
    <t>370000 Prestige (Zeus)</t>
  </si>
  <si>
    <t>420000 Prestige (Zeus)</t>
  </si>
  <si>
    <t>440000 Prestige (Zeus)</t>
  </si>
  <si>
    <t>450000 Prestige (Zeus)</t>
  </si>
  <si>
    <t>460000 Prestige (Zeus)</t>
  </si>
  <si>
    <t>470000 Prestige (Zeus)</t>
  </si>
  <si>
    <t>480000 Prestige (Zeus)</t>
  </si>
  <si>
    <t>490000 Prestige (Zeus)</t>
  </si>
  <si>
    <t>500000 Prestige (Zeus)</t>
  </si>
  <si>
    <t>500 Prestige (Poséidon)</t>
  </si>
  <si>
    <t>6000 Prestige (Poséidon)</t>
  </si>
  <si>
    <t>20000 Prestige (Poséidon)</t>
  </si>
  <si>
    <t>25000 Prestige (Poséidon)</t>
  </si>
  <si>
    <t>30000 Prestige (Poséidon)</t>
  </si>
  <si>
    <t>38000 Prestige (Poséidon)</t>
  </si>
  <si>
    <t>43000 Prestige (Poséidon)</t>
  </si>
  <si>
    <t>50000 Prestige (Poséidon)</t>
  </si>
  <si>
    <t>60000 Prestige (Poséidon)</t>
  </si>
  <si>
    <t>80000 Prestige (Poséidon)</t>
  </si>
  <si>
    <t>90000 Prestige (Poséidon)</t>
  </si>
  <si>
    <t>100000 Prestige (Poséidon)</t>
  </si>
  <si>
    <t>130000 Prestige (Poséidon)</t>
  </si>
  <si>
    <t>150000 Prestige (Poséidon)</t>
  </si>
  <si>
    <t>170000 Prestige (Poséidon)</t>
  </si>
  <si>
    <t>190000 Prestige (Poséidon)</t>
  </si>
  <si>
    <t>210000 Prestige (Poséidon)</t>
  </si>
  <si>
    <t>240000 Prestige (Poséidon)</t>
  </si>
  <si>
    <t>260000 Prestige (Poséidon)</t>
  </si>
  <si>
    <t>310000 Prestige (Poséidon)</t>
  </si>
  <si>
    <t>340000 Prestige (Poséidon)</t>
  </si>
  <si>
    <t>370000 Prestige (Poséidon)</t>
  </si>
  <si>
    <t>420000 Prestige (Poséidon)</t>
  </si>
  <si>
    <t>440000 Prestige (Poséidon)</t>
  </si>
  <si>
    <t>450000 Prestige (Poséidon)</t>
  </si>
  <si>
    <t>460000 Prestige (Poséidon)</t>
  </si>
  <si>
    <t>470000 Prestige (Poséidon)</t>
  </si>
  <si>
    <t>480000 Prestige (Poséidon)</t>
  </si>
  <si>
    <t>490000 Prestige (Poséidon)</t>
  </si>
  <si>
    <t>500000 Prestige (Poséidon)</t>
  </si>
  <si>
    <t>Phalange Marteau</t>
  </si>
  <si>
    <t>Oxybèles</t>
  </si>
  <si>
    <t>Atalante</t>
  </si>
  <si>
    <t>Cavalerie de Feu</t>
  </si>
  <si>
    <t>Chasseur d'Ames</t>
  </si>
  <si>
    <t>Grosfomachoi</t>
  </si>
  <si>
    <t>Jörmungand</t>
  </si>
  <si>
    <t>Chevalier Errant</t>
  </si>
  <si>
    <t>Géant des Mers</t>
  </si>
  <si>
    <t>Mammouth</t>
  </si>
  <si>
    <t>Carrobaliste</t>
  </si>
  <si>
    <t>Mage de la Foudre</t>
  </si>
  <si>
    <t>Guerrier des Neiges</t>
  </si>
  <si>
    <t>Richard Ier</t>
  </si>
  <si>
    <t>Cavalerie à Arbalète</t>
  </si>
  <si>
    <t>Cavalerie Dorée</t>
  </si>
  <si>
    <t>Cheval de Troie</t>
  </si>
  <si>
    <t>Peltaste</t>
  </si>
  <si>
    <t>Archer des Neiges</t>
  </si>
  <si>
    <t>Cavalerie de Charge</t>
  </si>
  <si>
    <t>Pezhetairoi</t>
  </si>
  <si>
    <t>Pyromancien</t>
  </si>
  <si>
    <t>Nymphe Danseuse</t>
  </si>
  <si>
    <t>Prêtre Guérisseur</t>
  </si>
  <si>
    <t>Char Armé Cyclope</t>
  </si>
  <si>
    <t>Griffon</t>
  </si>
  <si>
    <t>Ralliement</t>
  </si>
  <si>
    <t>Assaut Immédiat</t>
  </si>
  <si>
    <t>Guerre Eclair Nocturne</t>
  </si>
  <si>
    <t>Embuscade Générale</t>
  </si>
  <si>
    <t>Epidémie de Mutinerie</t>
  </si>
  <si>
    <t>Flèches des Ames</t>
  </si>
  <si>
    <t>Frappe en Colonne</t>
  </si>
  <si>
    <t>Frappe en Ligne</t>
  </si>
  <si>
    <t>Malédiction de Pandore</t>
  </si>
  <si>
    <t>Pandore</t>
  </si>
  <si>
    <t>Absorption de Moral</t>
  </si>
  <si>
    <t>Dague Empoisonnée</t>
  </si>
  <si>
    <t>Flambeau de l'Immortalité</t>
  </si>
  <si>
    <t>Polyphème</t>
  </si>
  <si>
    <t>Céléno</t>
  </si>
  <si>
    <t>Sterope</t>
  </si>
  <si>
    <t>Galatos</t>
  </si>
  <si>
    <t>Armure Barbare</t>
  </si>
  <si>
    <t>Déesses de la Pomme d'Or</t>
  </si>
  <si>
    <t>Lande en Feu</t>
  </si>
  <si>
    <t>Dégats augmentés</t>
  </si>
  <si>
    <t>Chances de coups critiques augmentées</t>
  </si>
  <si>
    <t>Chances de blocage augmentées</t>
  </si>
  <si>
    <t>Chances de contre-attaque augmentées</t>
  </si>
  <si>
    <t>Dégats et chances de coups critique augmentées</t>
  </si>
  <si>
    <t>Dégats et chances d'esquive augmentées</t>
  </si>
  <si>
    <t>Augmente le moral d'une cible</t>
  </si>
  <si>
    <t>Augmente le moral des troupes et baisse celui de l'ennemi</t>
  </si>
  <si>
    <t>Toutes statistiques augmentées</t>
  </si>
  <si>
    <t>Attaque toutes les cibles, dégats modérés</t>
  </si>
  <si>
    <t>Attaque toutes les cibles et cause une partie des troupes à s'enfuir</t>
  </si>
  <si>
    <t>Sème le chaos lors de la réussite de l'attaque</t>
  </si>
  <si>
    <t>Dégats en colonne</t>
  </si>
  <si>
    <t>Attaque tous les ennemis</t>
  </si>
  <si>
    <t>Unité défensive</t>
  </si>
  <si>
    <t>Soigne tout le groupe</t>
  </si>
  <si>
    <t>Défense augmentée</t>
  </si>
  <si>
    <t>Chance d'esquive augmentée</t>
  </si>
  <si>
    <t>Haut taux de réussite, dégats faible</t>
  </si>
  <si>
    <t>Dégats augmentés contre la Cavalerie</t>
  </si>
  <si>
    <t>Bas taux de réussite, dégats élevés</t>
  </si>
  <si>
    <t>Augmente aléatoirement le morale d'une troupe</t>
  </si>
  <si>
    <t>Dégats réduits contre les Archers</t>
  </si>
  <si>
    <t>Attaque sur cible unique</t>
  </si>
  <si>
    <t>Version améliorée du Carrobaliste, Dégats en colonne</t>
  </si>
  <si>
    <t>Version améliorée du Cheval de Troie, Attaque sur cible unique</t>
  </si>
  <si>
    <t>La Serveuse du Dieu du Vin</t>
  </si>
  <si>
    <t>Mage Cosmique</t>
  </si>
  <si>
    <t>Charge Armée</t>
  </si>
  <si>
    <t>Dommages Magiques et Dommages Physiques.</t>
  </si>
  <si>
    <t>Sème le chaos chez l'ennemi en face.</t>
  </si>
  <si>
    <t>Inflige des dommages à tous les ennemis.</t>
  </si>
  <si>
    <t>Attaque des ennemis de manière transversale.</t>
  </si>
  <si>
    <t>Réduit le Moral de l'ennemi à zéro.</t>
  </si>
  <si>
    <t>Attaque des ennemis de manière longitudinale.</t>
  </si>
  <si>
    <t>Une cible, grands Dommages Magiques.</t>
  </si>
  <si>
    <t>Répression du Moral</t>
  </si>
  <si>
    <t>Attaque des ennemis qui ont du Moral, et peut le diminuer.</t>
  </si>
  <si>
    <t>Permet d’avoir une meilleure défense au prochain tour.</t>
  </si>
  <si>
    <t>Attaque Explosive</t>
  </si>
  <si>
    <t>Cette attaque peut succéder à une autre attaque lorsque le moral est plein.</t>
  </si>
  <si>
    <t>Aucun</t>
  </si>
  <si>
    <t>Peut provoquer une Mutinerie dans les troupes ennemies.</t>
  </si>
  <si>
    <t>Dionysos</t>
  </si>
  <si>
    <t>Thalie</t>
  </si>
  <si>
    <t>Peut subtiliser le Moral des ennemis.</t>
  </si>
  <si>
    <t>Attaque immédiate avec une chance de semer le chaos dans les troupes ennemies.</t>
  </si>
  <si>
    <t>Ecraser et Brûler</t>
  </si>
  <si>
    <t>Poussière d'Étoile</t>
  </si>
  <si>
    <t>Moins il y a de soldats, plus les Dommages Magiques sont puissants.</t>
  </si>
  <si>
    <t>Raid Furtif</t>
  </si>
  <si>
    <t>Attaquez les ennemis par derrière et semez le chaos dans leur rangs.</t>
  </si>
  <si>
    <t>Attaquez deux fois de suite.</t>
  </si>
  <si>
    <t>Attaque Coordonnée</t>
  </si>
  <si>
    <t>Ailes d'Ange</t>
  </si>
  <si>
    <t>Attaque des ennemis aux alentours.</t>
  </si>
  <si>
    <t>Votre unité est en position de défense durant cette attaque.</t>
  </si>
  <si>
    <t>Défense Totale</t>
  </si>
  <si>
    <t>Le Moral des unités est au maximum, de même pour l'Esprit.</t>
  </si>
  <si>
    <t>Grâce de Zeus</t>
  </si>
  <si>
    <t>Attaque Fantôme</t>
  </si>
  <si>
    <t>Une chance d'attaquer encore une fois.</t>
  </si>
  <si>
    <t>Les Citoyens Désagréables</t>
  </si>
  <si>
    <t>Réparation du Chemin Boueux</t>
  </si>
  <si>
    <t>Version améliorée du Pyromancien, Haut taux de réussite, dégats faible</t>
  </si>
  <si>
    <t>Version améliorée du Mage de la Foudre, Bas taux de réussite, dégats élevés</t>
  </si>
  <si>
    <t>Le Temple en Ruine</t>
  </si>
  <si>
    <t>L'Assassin des Ténèbres</t>
  </si>
  <si>
    <t>Hespérides</t>
  </si>
  <si>
    <t>Archer d'Or</t>
  </si>
  <si>
    <t>L'Apocalypse</t>
  </si>
  <si>
    <t>Hécate</t>
  </si>
  <si>
    <t>Devoir Militaire</t>
  </si>
  <si>
    <t>Ennemi hors la loi</t>
  </si>
  <si>
    <t>Clairon</t>
  </si>
  <si>
    <t>Mage du Tonnerre</t>
  </si>
  <si>
    <t>Le Déchainement de l'Ours Blanc</t>
  </si>
  <si>
    <t>Les Grésillements de la Roche</t>
  </si>
  <si>
    <t>Demoralising shout</t>
  </si>
  <si>
    <t>Desperate measures</t>
  </si>
  <si>
    <t>Sneak attack</t>
  </si>
  <si>
    <t>Special Force</t>
  </si>
  <si>
    <t>Tideturner</t>
  </si>
  <si>
    <t>Vengeful Strike (100%)</t>
  </si>
  <si>
    <t>Vengeful Strike (75%)</t>
  </si>
  <si>
    <t>Vengeful Strike (50%)</t>
  </si>
  <si>
    <t>Vengeful Strike (25%)</t>
  </si>
  <si>
    <t>Berserker Rage (100%)</t>
  </si>
  <si>
    <t>Berserker Rage (75%)</t>
  </si>
  <si>
    <t>Berserker Rage (50%)</t>
  </si>
  <si>
    <t>Berserker Rage (25%)</t>
  </si>
  <si>
    <t>Semeur de Feu</t>
  </si>
  <si>
    <t>Xp/BP</t>
  </si>
  <si>
    <t>Médée</t>
  </si>
  <si>
    <t>Pyromancien Déchaîné</t>
  </si>
  <si>
    <t>Cadeaux des Citoyens</t>
  </si>
  <si>
    <t>Les Soldats Blessés</t>
  </si>
  <si>
    <t>La Veuve et son fils</t>
  </si>
  <si>
    <t>Hypnos</t>
  </si>
  <si>
    <t>Thanatos</t>
  </si>
  <si>
    <t>Le Nouveau Moine dans la Ville</t>
  </si>
  <si>
    <t>Réalisations de Charmes</t>
  </si>
  <si>
    <t>Un Tigre dans les Bois</t>
  </si>
  <si>
    <t>La Visite Diplomatique</t>
  </si>
  <si>
    <t>Le Sol Riche de la Campagne</t>
  </si>
  <si>
    <t>Le Mage Noir</t>
  </si>
  <si>
    <t>Chevaux Ordinaire</t>
  </si>
  <si>
    <t>Manteau</t>
  </si>
  <si>
    <t>Manteau Ordinaire</t>
  </si>
  <si>
    <t>Respecter Héphaïstos</t>
  </si>
  <si>
    <t>Le Géant Maléfique</t>
  </si>
  <si>
    <t>Version améliorée de l'Hydromancien, Taux de réussite moyen, dégats moyen</t>
  </si>
  <si>
    <t>LT (22)</t>
  </si>
  <si>
    <t>15 lv de moins</t>
  </si>
  <si>
    <t>Entre 15 et 5 lv</t>
  </si>
  <si>
    <t>300-600</t>
  </si>
  <si>
    <t>&lt;300</t>
  </si>
  <si>
    <t>Plus de 5 lv</t>
  </si>
  <si>
    <t>400-800</t>
  </si>
  <si>
    <t>&lt;400</t>
  </si>
  <si>
    <t>500-1000</t>
  </si>
  <si>
    <t>&lt;500</t>
  </si>
  <si>
    <t>LP/LN (52)</t>
  </si>
  <si>
    <t>LM2/LG (42)</t>
  </si>
  <si>
    <t>LH/LM (32)</t>
  </si>
  <si>
    <t>600-1200</t>
  </si>
  <si>
    <t>&lt;600</t>
  </si>
  <si>
    <t>700-1400</t>
  </si>
  <si>
    <t>800-1600</t>
  </si>
  <si>
    <t>&lt;700</t>
  </si>
  <si>
    <t>&lt;800</t>
  </si>
  <si>
    <t>LA2 (82)</t>
  </si>
  <si>
    <t>900-1800</t>
  </si>
  <si>
    <t>1000-2000</t>
  </si>
  <si>
    <t>&lt;900</t>
  </si>
  <si>
    <t>&lt;1000</t>
  </si>
  <si>
    <t>Dragon Blanc</t>
  </si>
  <si>
    <t>Pyromane</t>
  </si>
  <si>
    <t>Glaive Spartiate</t>
  </si>
  <si>
    <t>Corde de Drake</t>
  </si>
  <si>
    <t>Armure de l'Espoir</t>
  </si>
  <si>
    <t>Eurytus</t>
  </si>
  <si>
    <t>Clytie</t>
  </si>
  <si>
    <t>Mimas</t>
  </si>
  <si>
    <t>Canne Dorée</t>
  </si>
  <si>
    <t>Ephialtès</t>
  </si>
  <si>
    <t>Traîtrise Sanglante</t>
  </si>
  <si>
    <t>Prier pour la Pluie</t>
  </si>
  <si>
    <t>Python d'Argent</t>
  </si>
  <si>
    <t>Nymphe</t>
  </si>
  <si>
    <t>Fouet de Claire</t>
  </si>
  <si>
    <t>Arktos</t>
  </si>
  <si>
    <t>Hesperis</t>
  </si>
  <si>
    <t>Armure du Désir</t>
  </si>
  <si>
    <t>Dysis</t>
  </si>
  <si>
    <t>L'Ennemi Blessé</t>
  </si>
  <si>
    <t>Prométhée</t>
  </si>
  <si>
    <t>Thétis</t>
  </si>
  <si>
    <t>La Colère du Dieu de la Lune</t>
  </si>
  <si>
    <t>Dieux de la Mer</t>
  </si>
  <si>
    <t>Dardanos</t>
  </si>
  <si>
    <t>Carrobaliste de Feu</t>
  </si>
  <si>
    <t>L'Attaque du Kidnappeur</t>
  </si>
  <si>
    <t>Kykhreides</t>
  </si>
  <si>
    <t>Sirène</t>
  </si>
  <si>
    <t>Récoltes Abondantes</t>
  </si>
  <si>
    <t>La Cambrioleuse</t>
  </si>
  <si>
    <t>Eléphant Egyptien</t>
  </si>
  <si>
    <t>Gros Rats</t>
  </si>
  <si>
    <t>La Boîte Dorée</t>
  </si>
  <si>
    <t>G6-1</t>
  </si>
  <si>
    <t>G6-2</t>
  </si>
  <si>
    <t>G6-3</t>
  </si>
  <si>
    <t>G6-4</t>
  </si>
  <si>
    <t>G6-5</t>
  </si>
  <si>
    <t>G6-6</t>
  </si>
  <si>
    <t>G6-7</t>
  </si>
  <si>
    <t>G6-8</t>
  </si>
  <si>
    <t>G6-9</t>
  </si>
  <si>
    <t>G6-10</t>
  </si>
  <si>
    <t>G7-1</t>
  </si>
  <si>
    <t>G7-2</t>
  </si>
  <si>
    <t>G7-3</t>
  </si>
  <si>
    <t>G7-4</t>
  </si>
  <si>
    <t>G7-5</t>
  </si>
  <si>
    <t>G7-6</t>
  </si>
  <si>
    <t>G7-7</t>
  </si>
  <si>
    <t>G7-8</t>
  </si>
  <si>
    <t>G7-9</t>
  </si>
  <si>
    <t>G7-10</t>
  </si>
  <si>
    <t>G8-1</t>
  </si>
  <si>
    <t>G8-2</t>
  </si>
  <si>
    <t>G8-3</t>
  </si>
  <si>
    <t>G8-4</t>
  </si>
  <si>
    <t>G8-5</t>
  </si>
  <si>
    <t>G8-6</t>
  </si>
  <si>
    <t>G8-7</t>
  </si>
  <si>
    <t>G8-8</t>
  </si>
  <si>
    <t>G8-9</t>
  </si>
  <si>
    <t>G8-10</t>
  </si>
  <si>
    <t>Cavalerie de l'Ombre</t>
  </si>
  <si>
    <t>3m20</t>
  </si>
  <si>
    <t>Labyrinthe de Thalassa</t>
  </si>
  <si>
    <t>G9-1</t>
  </si>
  <si>
    <t>G9-2</t>
  </si>
  <si>
    <t>G9-3</t>
  </si>
  <si>
    <t>G9-4</t>
  </si>
  <si>
    <t>G9-5</t>
  </si>
  <si>
    <t>G9-6</t>
  </si>
  <si>
    <t>G9-7</t>
  </si>
  <si>
    <t>G9-8</t>
  </si>
  <si>
    <t>G9-9</t>
  </si>
  <si>
    <t>G9-10</t>
  </si>
  <si>
    <t>G10-1</t>
  </si>
  <si>
    <t>G10-2</t>
  </si>
  <si>
    <t>G10-3</t>
  </si>
  <si>
    <t>G10-4</t>
  </si>
  <si>
    <t>G10-5</t>
  </si>
  <si>
    <t>G10-6</t>
  </si>
  <si>
    <t>G10-7</t>
  </si>
  <si>
    <t>G10-8</t>
  </si>
  <si>
    <t>G10-9</t>
  </si>
  <si>
    <t>G10-10</t>
  </si>
  <si>
    <t>Tantale</t>
  </si>
  <si>
    <t>Manteau Hanté</t>
  </si>
  <si>
    <t>Epée d'Arès</t>
  </si>
  <si>
    <t>Mage Cyclonique</t>
  </si>
  <si>
    <t>Taureau Doré</t>
  </si>
  <si>
    <t>Mage Solaire</t>
  </si>
  <si>
    <t>Le Déserteur Sauvage</t>
  </si>
  <si>
    <t>Pontos</t>
  </si>
  <si>
    <t>Dieux de la Terre</t>
  </si>
  <si>
    <t>Maïa</t>
  </si>
  <si>
    <t>LP2 (62)</t>
  </si>
  <si>
    <t>LA (72)</t>
  </si>
  <si>
    <t>&lt;1200</t>
  </si>
  <si>
    <t>1200-2400</t>
  </si>
  <si>
    <t>Qilin</t>
  </si>
  <si>
    <t>Char Marteau Cyclope</t>
  </si>
  <si>
    <t>Naïade</t>
  </si>
  <si>
    <t>Arc des Neufs</t>
  </si>
  <si>
    <t>Flèches de Feu</t>
  </si>
  <si>
    <t>Amaltheia</t>
  </si>
  <si>
    <t>Le Déluge</t>
  </si>
  <si>
    <t>Chimère</t>
  </si>
  <si>
    <t>Phalange Fantôme</t>
  </si>
  <si>
    <t>G11-1</t>
  </si>
  <si>
    <t>G11-2</t>
  </si>
  <si>
    <t>G11-3</t>
  </si>
  <si>
    <t>G11-4</t>
  </si>
  <si>
    <t>G11-5</t>
  </si>
  <si>
    <t>G11-6</t>
  </si>
  <si>
    <t>G11-7</t>
  </si>
  <si>
    <t>G11-8</t>
  </si>
  <si>
    <t>G11-9</t>
  </si>
  <si>
    <t>G11-10</t>
  </si>
  <si>
    <t>G12-1</t>
  </si>
  <si>
    <t>G12-2</t>
  </si>
  <si>
    <t>G12-3</t>
  </si>
  <si>
    <t>G12-4</t>
  </si>
  <si>
    <t>G12-5</t>
  </si>
  <si>
    <t>G12-6</t>
  </si>
  <si>
    <t>G12-7</t>
  </si>
  <si>
    <t>G12-8</t>
  </si>
  <si>
    <t>G12-9</t>
  </si>
  <si>
    <t>G12-10</t>
  </si>
  <si>
    <t>G13-1</t>
  </si>
  <si>
    <t>G13-2</t>
  </si>
  <si>
    <t>G13-3</t>
  </si>
  <si>
    <t>G13-4</t>
  </si>
  <si>
    <t>G13-5</t>
  </si>
  <si>
    <t>G13-6</t>
  </si>
  <si>
    <t>G13-7</t>
  </si>
  <si>
    <t>G13-8</t>
  </si>
  <si>
    <t>G13-9</t>
  </si>
  <si>
    <t>G13-10</t>
  </si>
  <si>
    <t>G14-1</t>
  </si>
  <si>
    <t>G14-2</t>
  </si>
  <si>
    <t>G14-3</t>
  </si>
  <si>
    <t>G14-4</t>
  </si>
  <si>
    <t>G14-5</t>
  </si>
  <si>
    <t>G14-6</t>
  </si>
  <si>
    <t>G14-7</t>
  </si>
  <si>
    <t>G14-8</t>
  </si>
  <si>
    <t>G14-9</t>
  </si>
  <si>
    <t>G14-10</t>
  </si>
  <si>
    <t xml:space="preserve"> Battle Points +1%</t>
  </si>
  <si>
    <t>Defense Form</t>
  </si>
  <si>
    <t>Manteau Runique</t>
  </si>
  <si>
    <t>Halia</t>
  </si>
  <si>
    <t>Glaive Lunaire</t>
  </si>
  <si>
    <t>Céto</t>
  </si>
  <si>
    <t>Scorpion des Mers</t>
  </si>
  <si>
    <t>Manteau de Dionysos</t>
  </si>
  <si>
    <t>Dieux du Ciel</t>
  </si>
  <si>
    <t>Prix Scout</t>
  </si>
  <si>
    <t>Les Ambassadeurs d'Egypte</t>
  </si>
  <si>
    <t>Trompette Spartiate</t>
  </si>
  <si>
    <t>Trompette de Prêtre</t>
  </si>
  <si>
    <t>Trompette Géante</t>
  </si>
  <si>
    <t>Trompette d'Argent</t>
  </si>
  <si>
    <t>Rose de la Paix</t>
  </si>
  <si>
    <t>Trompette Pulpeuse</t>
  </si>
  <si>
    <t>Trompette Hantée</t>
  </si>
  <si>
    <t>70 Or</t>
  </si>
  <si>
    <t>100 Or</t>
  </si>
  <si>
    <t>60 Or</t>
  </si>
  <si>
    <t>24 Or</t>
  </si>
  <si>
    <t>28 Or</t>
  </si>
  <si>
    <t>32 Or</t>
  </si>
  <si>
    <t>36 Or</t>
  </si>
  <si>
    <t>40 Or</t>
  </si>
  <si>
    <t>44 Or</t>
  </si>
  <si>
    <t>50 Or</t>
  </si>
  <si>
    <t>Manteau Sacré</t>
  </si>
  <si>
    <t>Manteau de Castalie</t>
  </si>
  <si>
    <t>Manteau Nuageux</t>
  </si>
  <si>
    <t>La Livraison de l'Evangile</t>
  </si>
  <si>
    <t>Manteau de Prêtre</t>
  </si>
  <si>
    <t>Baliste de Feu</t>
  </si>
  <si>
    <t>Version améliorée de la Baliste, Dégats en ligne</t>
  </si>
  <si>
    <t>Hydromancien Expert</t>
  </si>
  <si>
    <t>Cassandre</t>
  </si>
  <si>
    <t>Sylvin</t>
  </si>
  <si>
    <t>La Grande Célébration</t>
  </si>
  <si>
    <t>Arc Elfe</t>
  </si>
  <si>
    <t>Adikia</t>
  </si>
  <si>
    <t>Cupidon</t>
  </si>
  <si>
    <t>Couteau de Sacrifice</t>
  </si>
  <si>
    <t>Phobos</t>
  </si>
  <si>
    <t>Aviron de Charon</t>
  </si>
  <si>
    <t>Lélantos</t>
  </si>
  <si>
    <t>Rencontre avec Aristote</t>
  </si>
  <si>
    <t>Arès</t>
  </si>
  <si>
    <t>Phaéton</t>
  </si>
  <si>
    <t>Le Sourire d'Hadès</t>
  </si>
  <si>
    <t>Aeacus</t>
  </si>
  <si>
    <t>Montagnes de l'Atlas 1</t>
  </si>
  <si>
    <t>Jardin des Hespérides</t>
  </si>
  <si>
    <t>Montagnes de l'Atlas 2</t>
  </si>
  <si>
    <t>Manteau de Vrykolakas</t>
  </si>
  <si>
    <t>La Rage de Poséidon</t>
  </si>
  <si>
    <t>Manteau de Zeus</t>
  </si>
  <si>
    <t>Manteau Doué</t>
  </si>
  <si>
    <t>Zagrée</t>
  </si>
  <si>
    <t>(51:14k4/60:12k)</t>
  </si>
  <si>
    <t>(51:10k)</t>
  </si>
  <si>
    <t>Cavalerie de la Foudre</t>
  </si>
  <si>
    <t>Trompette d'Or</t>
  </si>
  <si>
    <t>Crieuse des Thermopyles</t>
  </si>
  <si>
    <t>80 Or</t>
  </si>
  <si>
    <t>Manteau de Grand Sorcier</t>
  </si>
  <si>
    <t>Euros</t>
  </si>
  <si>
    <t>Manteau de Cérémonie</t>
  </si>
  <si>
    <t>Mélinoé</t>
  </si>
  <si>
    <t>L'Epidémie de Peste</t>
  </si>
  <si>
    <t>Hermès</t>
  </si>
  <si>
    <t>Dryade</t>
  </si>
  <si>
    <t>Voyage Ardent</t>
  </si>
  <si>
    <t>Niké</t>
  </si>
  <si>
    <t>Armure Volcanique</t>
  </si>
  <si>
    <t>Aristée</t>
  </si>
  <si>
    <t>Apollon</t>
  </si>
  <si>
    <t>Sabre de Samouraï</t>
  </si>
  <si>
    <t>Alala</t>
  </si>
  <si>
    <t>Manteau de Sang</t>
  </si>
  <si>
    <t>Zephyr</t>
  </si>
  <si>
    <t>Borée</t>
  </si>
  <si>
    <t>Licorne Nocturne</t>
  </si>
  <si>
    <t>Notos</t>
  </si>
  <si>
    <t>Arc d'Apollon</t>
  </si>
  <si>
    <t>Fleuves des Enfers</t>
  </si>
  <si>
    <t>L'Antre d'Hadès</t>
  </si>
  <si>
    <t>Licorne de la Foudre</t>
  </si>
  <si>
    <t>Hébé</t>
  </si>
  <si>
    <t>Trompette des Ténèbres</t>
  </si>
  <si>
    <t>200 Or</t>
  </si>
  <si>
    <t>Protée</t>
  </si>
  <si>
    <t>Training Ground 3</t>
  </si>
  <si>
    <t>La Licorne sans Cornes</t>
  </si>
  <si>
    <t>Rencontre avec Ulysse</t>
  </si>
  <si>
    <t>Rhadamanthe</t>
  </si>
  <si>
    <t>Faucheur Fantôme</t>
  </si>
  <si>
    <t>Géant de Pierre</t>
  </si>
  <si>
    <t>Aglaé</t>
  </si>
  <si>
    <t>Persès</t>
  </si>
  <si>
    <t>Charmes Spartiates</t>
  </si>
  <si>
    <t>Sanglots de la Nuit</t>
  </si>
  <si>
    <t>Trompette de Xerxès</t>
  </si>
  <si>
    <t>90 Or</t>
  </si>
  <si>
    <t>Trompette Pleureuse</t>
  </si>
  <si>
    <t>300 Or</t>
  </si>
  <si>
    <t>The Breathtaking Burglar</t>
  </si>
  <si>
    <t>Clique Militaire</t>
  </si>
  <si>
    <t>Archer de la Foudre</t>
  </si>
  <si>
    <t>Lance d'Athéna</t>
  </si>
  <si>
    <t>Me trouver n'est pas forcément bon pour vous, tout dépend de votre force</t>
  </si>
  <si>
    <t>Vous voulez des crédits ? Demandez aux garçons dans mes mains</t>
  </si>
  <si>
    <t>Ce n'est pas en parlant que vous obtiendrez des crédits</t>
  </si>
  <si>
    <t>Runan / Iolcos</t>
  </si>
  <si>
    <t>Chenliu / Pélion</t>
  </si>
  <si>
    <t>Wanbiao / Ptéléos</t>
  </si>
  <si>
    <t>Xuchang / Thracia</t>
  </si>
  <si>
    <t>Wuling / Thèbes</t>
  </si>
  <si>
    <t>Xiapi / Cydonia</t>
  </si>
  <si>
    <t>Dianmen / Délos</t>
  </si>
  <si>
    <t>Jiangxia / Sparte</t>
  </si>
  <si>
    <t>Shouchun / Lorenzo</t>
  </si>
  <si>
    <t>Jangling / Taenarum</t>
  </si>
  <si>
    <t>Xinye / Olympe</t>
  </si>
  <si>
    <t>Shangyong / Mycènes</t>
  </si>
  <si>
    <t>Hanzhong / Tirynthe</t>
  </si>
  <si>
    <t>Changan / Athènes</t>
  </si>
  <si>
    <t>Xiangyang / Marathon</t>
  </si>
  <si>
    <t>Faux de la Mort</t>
  </si>
  <si>
    <t>Dragon Isménien</t>
  </si>
  <si>
    <t>Dragon Gigantomachie</t>
  </si>
  <si>
    <t>Echidn</t>
  </si>
  <si>
    <t>Epée d'Achille</t>
  </si>
  <si>
    <t>Diamant des Glaces</t>
  </si>
  <si>
    <t>Aporia</t>
  </si>
  <si>
    <t>Armure de Vainqueur</t>
  </si>
  <si>
    <t>Grées</t>
  </si>
  <si>
    <t>Baguette Magique d'Hermès</t>
  </si>
  <si>
    <t>Makaria</t>
  </si>
  <si>
    <t>Anadia</t>
  </si>
  <si>
    <t>Apaté</t>
  </si>
  <si>
    <t>Armure Enchantée</t>
  </si>
  <si>
    <t>Manuscrit de Grées</t>
  </si>
  <si>
    <t>Cheval de Troie Armé</t>
  </si>
  <si>
    <t>Corne de Brume</t>
  </si>
  <si>
    <t>Sémaphore</t>
  </si>
  <si>
    <t>Forge d'Arme</t>
  </si>
  <si>
    <t>Forge d'Armure</t>
  </si>
  <si>
    <t>Pénétration Magique</t>
  </si>
  <si>
    <t>Résistance Magique</t>
  </si>
  <si>
    <t>Pénétration Elémentaire</t>
  </si>
  <si>
    <t>Résistance Elémentaire</t>
  </si>
  <si>
    <t>Tortue</t>
  </si>
  <si>
    <t>Thébaine</t>
  </si>
  <si>
    <t>Verrat</t>
  </si>
  <si>
    <t>Croissant</t>
  </si>
  <si>
    <t>Coin Inversé</t>
  </si>
  <si>
    <t>Gramarie</t>
  </si>
  <si>
    <t>Padmavyuha</t>
  </si>
  <si>
    <t>Echeveau</t>
  </si>
  <si>
    <t>Déclaration de Guerre</t>
  </si>
  <si>
    <t>Premiers Secours</t>
  </si>
  <si>
    <t>Elixir</t>
  </si>
  <si>
    <t>Kasaya Violet-Doré</t>
  </si>
  <si>
    <t>Epée d'Hadès</t>
  </si>
  <si>
    <t>Manteau de Feuilles</t>
  </si>
  <si>
    <t>Approvisionnement</t>
  </si>
  <si>
    <t>Pégase</t>
  </si>
  <si>
    <t>Nymphe Contralto</t>
  </si>
  <si>
    <t>400 Or</t>
  </si>
  <si>
    <t>Trompette d'Hommage</t>
  </si>
  <si>
    <t>Taygète</t>
  </si>
  <si>
    <t>Dégats augmentés contre l'Infanterie</t>
  </si>
  <si>
    <t>Cri du Dragon</t>
  </si>
  <si>
    <t>Contre-Attaque</t>
  </si>
  <si>
    <t>Heimdall</t>
  </si>
  <si>
    <t>Rhéa</t>
  </si>
  <si>
    <t>Attaque Restauratrice</t>
  </si>
  <si>
    <t>Skuld</t>
  </si>
  <si>
    <t>Raid de l'Ombre</t>
  </si>
  <si>
    <t>Enfers</t>
  </si>
  <si>
    <t>Hel</t>
  </si>
  <si>
    <t>Licorne Sacrée</t>
  </si>
  <si>
    <t>Edjo</t>
  </si>
  <si>
    <t>Armure Eclatante</t>
  </si>
  <si>
    <t>Scorpion à Grande Pinces</t>
  </si>
  <si>
    <t>Archer Marin d'Elite</t>
  </si>
  <si>
    <t>Garde d'Elite des Dieux</t>
  </si>
  <si>
    <t>Chevaux Doué</t>
  </si>
  <si>
    <t>Chevaux d'Elite</t>
  </si>
  <si>
    <t>Martin</t>
  </si>
  <si>
    <t>Leucothée</t>
  </si>
  <si>
    <t>Lever le Voile sur l'Avenir</t>
  </si>
  <si>
    <t>Quête</t>
  </si>
  <si>
    <t>Oracle Onirique</t>
  </si>
  <si>
    <t>Fin de Map</t>
  </si>
  <si>
    <t>Brisingamen</t>
  </si>
  <si>
    <t>Iapetos</t>
  </si>
  <si>
    <t>Ménoetios</t>
  </si>
  <si>
    <t>Achlus</t>
  </si>
  <si>
    <t>Hélios</t>
  </si>
  <si>
    <t>Macaria</t>
  </si>
  <si>
    <t>Hadès</t>
  </si>
  <si>
    <t>86, 87</t>
  </si>
  <si>
    <t>88, 89</t>
  </si>
  <si>
    <t>91, 92</t>
  </si>
  <si>
    <t>93, 94</t>
  </si>
  <si>
    <t>96, 97</t>
  </si>
  <si>
    <t>98, 99</t>
  </si>
  <si>
    <t>Pavot d'Hypnos</t>
  </si>
  <si>
    <t>Maçonnerie</t>
  </si>
  <si>
    <t>Engins de Siège</t>
  </si>
  <si>
    <t>Le Tartare</t>
  </si>
  <si>
    <t>Ragnarök</t>
  </si>
  <si>
    <t>Manteau Expérimenté</t>
  </si>
  <si>
    <t>Chevaux Expérimenté</t>
  </si>
  <si>
    <t>Equipement divin :</t>
  </si>
  <si>
    <t>Bleu = Lv x 1</t>
  </si>
  <si>
    <t>Vert = Lv x 2</t>
  </si>
  <si>
    <t>Manteau de Phobos</t>
  </si>
  <si>
    <t>Harpagos</t>
  </si>
  <si>
    <t>Scories de Cuivre</t>
  </si>
  <si>
    <t>Eclats de Cuivre</t>
  </si>
  <si>
    <t>Eclair</t>
  </si>
  <si>
    <t>Cuivre Impur</t>
  </si>
  <si>
    <t>Cuivre Rouillé</t>
  </si>
  <si>
    <t>Loyauté +8</t>
  </si>
  <si>
    <t>Loyauté +5</t>
  </si>
  <si>
    <t>Loyauté +7</t>
  </si>
  <si>
    <t>Loyauté +4</t>
  </si>
  <si>
    <t>Loyauté +5, Tax +1</t>
  </si>
  <si>
    <t>Loyauté +6</t>
  </si>
  <si>
    <t>Loyauté +5, TaxCD -10m</t>
  </si>
  <si>
    <t>Or +5</t>
  </si>
  <si>
    <t>Or +10</t>
  </si>
  <si>
    <t>Or +3</t>
  </si>
  <si>
    <t>Laevateinn</t>
  </si>
  <si>
    <t>Cuivre Brillant</t>
  </si>
  <si>
    <t>Galène</t>
  </si>
  <si>
    <r>
      <t xml:space="preserve">Loyauté +5, </t>
    </r>
    <r>
      <rPr>
        <sz val="8"/>
        <color indexed="51"/>
        <rFont val="Calibri"/>
        <family val="2"/>
      </rPr>
      <t>Or +5</t>
    </r>
  </si>
  <si>
    <r>
      <t xml:space="preserve">Loyauté +7, </t>
    </r>
    <r>
      <rPr>
        <sz val="8"/>
        <color indexed="51"/>
        <rFont val="Calibri"/>
        <family val="2"/>
      </rPr>
      <t>Or +7</t>
    </r>
  </si>
  <si>
    <r>
      <rPr>
        <sz val="8"/>
        <color indexed="51"/>
        <rFont val="Calibri"/>
        <family val="2"/>
      </rPr>
      <t>Or +10</t>
    </r>
    <r>
      <rPr>
        <sz val="8"/>
        <color indexed="8"/>
        <rFont val="Calibri"/>
        <family val="2"/>
      </rPr>
      <t>, Loyauté +4, Tax +1</t>
    </r>
  </si>
  <si>
    <r>
      <rPr>
        <sz val="8"/>
        <color indexed="51"/>
        <rFont val="Calibri"/>
        <family val="2"/>
      </rPr>
      <t>Or +5</t>
    </r>
    <r>
      <rPr>
        <sz val="8"/>
        <color indexed="8"/>
        <rFont val="Calibri"/>
        <family val="2"/>
      </rPr>
      <t>, TaxCD -10m, Tax +1</t>
    </r>
  </si>
  <si>
    <t>Astraeos</t>
  </si>
  <si>
    <t>Spondé</t>
  </si>
  <si>
    <t>Mist</t>
  </si>
  <si>
    <t>La Sagesse d'Athéna
Le Mugissement de Poséidon
La Clémence de Zeus</t>
  </si>
  <si>
    <t>Epiméthée</t>
  </si>
  <si>
    <t>Karkadann</t>
  </si>
  <si>
    <t>Hesperian Dracon</t>
  </si>
  <si>
    <t>Hydre</t>
  </si>
  <si>
    <t>Théories de Magie Défensive</t>
  </si>
  <si>
    <t>Guide Pratique des Runes</t>
  </si>
  <si>
    <t>Scories d'Or</t>
  </si>
  <si>
    <t>Lachésis</t>
  </si>
  <si>
    <t>Akté</t>
  </si>
  <si>
    <t>Cause de grands Dommages Magiques, mais perds la moitié de ses facultés.</t>
  </si>
  <si>
    <t>Défense augmentée contre tous</t>
  </si>
  <si>
    <t>Géras</t>
  </si>
  <si>
    <t>Déméter</t>
  </si>
  <si>
    <t>Menthée</t>
  </si>
  <si>
    <t>Pénée</t>
  </si>
  <si>
    <t>Daphné</t>
  </si>
  <si>
    <t>Cuivre Pur</t>
  </si>
  <si>
    <t>700 Or</t>
  </si>
  <si>
    <t>800 Or</t>
  </si>
  <si>
    <t>900 0r</t>
  </si>
  <si>
    <t>1000 0r</t>
  </si>
  <si>
    <t>Starting Cost</t>
  </si>
  <si>
    <t>Grade</t>
  </si>
  <si>
    <t>Level</t>
  </si>
  <si>
    <t>Totat Cost</t>
  </si>
  <si>
    <t>DR return</t>
  </si>
  <si>
    <t>Degrading</t>
  </si>
  <si>
    <t>Armor</t>
  </si>
  <si>
    <t>Mount</t>
  </si>
  <si>
    <t>Horn</t>
  </si>
  <si>
    <t>Base Cost</t>
  </si>
  <si>
    <t>Increase</t>
  </si>
  <si>
    <t>White</t>
  </si>
  <si>
    <t>Blue</t>
  </si>
  <si>
    <t>Green</t>
  </si>
  <si>
    <t>Yellow</t>
  </si>
  <si>
    <t>Red</t>
  </si>
  <si>
    <t>Purple</t>
  </si>
  <si>
    <t>Léto</t>
  </si>
  <si>
    <t>Moros</t>
  </si>
  <si>
    <t>Manteau d'Oracle</t>
  </si>
  <si>
    <t>Héra</t>
  </si>
  <si>
    <t>Poudre d'Or Impur</t>
  </si>
  <si>
    <t>Nérée</t>
  </si>
  <si>
    <t>+3 Réussite</t>
  </si>
  <si>
    <t>Glaucos</t>
  </si>
  <si>
    <t>Léonopterix</t>
  </si>
  <si>
    <t>Eurybie</t>
  </si>
  <si>
    <t>Oneiroi</t>
  </si>
  <si>
    <t>Métis</t>
  </si>
  <si>
    <t>Héméra</t>
  </si>
  <si>
    <t>Ether</t>
  </si>
  <si>
    <t>Scories d'Etain</t>
  </si>
  <si>
    <t>Crios</t>
  </si>
  <si>
    <t>Pan/Minos/Crios</t>
  </si>
  <si>
    <t>+5 Transmut</t>
  </si>
  <si>
    <t>Héphaïstos</t>
  </si>
  <si>
    <t>Zeus/Poséidon/Athéna</t>
  </si>
  <si>
    <t>Héra/Héphaïstos/Astéria</t>
  </si>
  <si>
    <t>Poudre d'Or Raffiné</t>
  </si>
  <si>
    <t>Au-Delà du Désert</t>
  </si>
  <si>
    <t>Thrud</t>
  </si>
  <si>
    <t>Version améliorée de la Baliste de Feu, Dégats en ligne</t>
  </si>
  <si>
    <t>&lt;1400</t>
  </si>
  <si>
    <t>1400-2800</t>
  </si>
  <si>
    <t>Armure d'Arès</t>
  </si>
  <si>
    <t>Amélio</t>
  </si>
  <si>
    <t>Base Stat</t>
  </si>
  <si>
    <t>Mjollnir</t>
  </si>
  <si>
    <t>Forseti</t>
  </si>
  <si>
    <t>Trident de Poséidon</t>
  </si>
  <si>
    <t>Hodr</t>
  </si>
  <si>
    <t>Sati</t>
  </si>
  <si>
    <t>Sekhmet</t>
  </si>
  <si>
    <t>Selket</t>
  </si>
  <si>
    <t>La Rage des Valkyries</t>
  </si>
  <si>
    <t>Hildr</t>
  </si>
  <si>
    <t>Verdandi</t>
  </si>
  <si>
    <t>Urd</t>
  </si>
  <si>
    <t>War Jade Warrior God Totem</t>
  </si>
  <si>
    <t>Sun Tse Art of War</t>
  </si>
  <si>
    <t>Cristal Fantôme Violet</t>
  </si>
  <si>
    <t>Petit Diamand Pur</t>
  </si>
  <si>
    <t>&lt;1300</t>
  </si>
  <si>
    <t>1300-2600</t>
  </si>
  <si>
    <t>LZ/LP3/LA3 (102)</t>
  </si>
  <si>
    <t>LH2 (102)</t>
  </si>
  <si>
    <t>Eclats d'Etain</t>
  </si>
  <si>
    <t>Athéna</t>
  </si>
  <si>
    <t>Astéria</t>
  </si>
  <si>
    <t>Téthys</t>
  </si>
  <si>
    <t>Etain Impur</t>
  </si>
  <si>
    <t>Théia</t>
  </si>
  <si>
    <t>Titan Hacheur</t>
  </si>
  <si>
    <t>Licorne Joyeuse</t>
  </si>
  <si>
    <t>Fragments d'Or Impur</t>
  </si>
  <si>
    <t>Etain Rouillé</t>
  </si>
  <si>
    <t>Etain Brilliant</t>
  </si>
  <si>
    <t>Manteau d'Alfheim</t>
  </si>
  <si>
    <t>Fragments d'Or</t>
  </si>
  <si>
    <t>Custom FT BP</t>
  </si>
  <si>
    <t>50-&gt;63</t>
  </si>
  <si>
    <t>30-&gt;45</t>
  </si>
  <si>
    <t>20-&gt;35</t>
  </si>
  <si>
    <t>75-&gt;88</t>
  </si>
  <si>
    <t>10-&gt;25</t>
  </si>
  <si>
    <t>Phébé</t>
  </si>
  <si>
    <t>Mnémosyne</t>
  </si>
  <si>
    <t>Thémis</t>
  </si>
  <si>
    <t>Chronos</t>
  </si>
  <si>
    <t>Etain Pur</t>
  </si>
  <si>
    <t>DéclaGuerre lv50</t>
  </si>
  <si>
    <t>1800 (100-107)</t>
  </si>
  <si>
    <t>1950 (100-107)</t>
  </si>
  <si>
    <t>2100 (107-117)</t>
  </si>
  <si>
    <t>Chanter's Dusk</t>
  </si>
  <si>
    <t>Swirling</t>
  </si>
  <si>
    <t>Vuvuzela</t>
  </si>
  <si>
    <t>Ares' Roar</t>
  </si>
  <si>
    <t>Poseidon's Conch Shell</t>
  </si>
  <si>
    <t>Armure de Hiérophante</t>
  </si>
  <si>
    <t>Goliath</t>
  </si>
  <si>
    <t>Archer Elfe</t>
  </si>
  <si>
    <t>Quartz Etincelant Noir</t>
  </si>
  <si>
    <t>Fragments d'Or Pur</t>
  </si>
  <si>
    <t>+8 Transmut</t>
  </si>
  <si>
    <t>10-&gt;26</t>
  </si>
  <si>
    <t>30-&gt;47</t>
  </si>
  <si>
    <t>20-&gt;37</t>
  </si>
  <si>
    <t>90-&gt;101</t>
  </si>
  <si>
    <t>La Montagne Glacée</t>
  </si>
  <si>
    <t>Le Temple Perdu</t>
  </si>
  <si>
    <t>Gros Diamant Brut</t>
  </si>
  <si>
    <t>Siegfried</t>
  </si>
  <si>
    <t>Poséidon</t>
  </si>
  <si>
    <t>Agôn</t>
  </si>
  <si>
    <t>Hesperia</t>
  </si>
  <si>
    <t>Phaetusa</t>
  </si>
  <si>
    <t>Psamathée</t>
  </si>
  <si>
    <t>Halirrhotios</t>
  </si>
  <si>
    <t>Séléné</t>
  </si>
  <si>
    <t>Scories de Bronze</t>
  </si>
  <si>
    <t>Agamemnon</t>
  </si>
  <si>
    <t>Œdipe</t>
  </si>
  <si>
    <t>Forge</t>
  </si>
  <si>
    <t>Turc</t>
  </si>
  <si>
    <t>Romain</t>
  </si>
  <si>
    <t>Gaulois</t>
  </si>
  <si>
    <t>Espagnol</t>
  </si>
  <si>
    <t>Sicilien</t>
  </si>
  <si>
    <t>Phénicien</t>
  </si>
  <si>
    <t>Arménien</t>
  </si>
  <si>
    <t>Germanique</t>
  </si>
  <si>
    <t>Thrace</t>
  </si>
  <si>
    <t>Parthe</t>
  </si>
  <si>
    <t>Egyptien</t>
  </si>
  <si>
    <t>Byzantin</t>
  </si>
  <si>
    <t>4% d'avoir un quota de raffinage</t>
  </si>
  <si>
    <t>8% d'avoir un quota de raffinage</t>
  </si>
  <si>
    <t>Augmente de 4% le profit</t>
  </si>
  <si>
    <t>Augmente de 8% le profit</t>
  </si>
  <si>
    <t>Augmente le profit de 5% en groupe</t>
  </si>
  <si>
    <t>Permet une Panacée (Profit x4) ou une Explosion (Profit 0)</t>
  </si>
  <si>
    <t>Diminue un peu les chances d'Explosion</t>
  </si>
  <si>
    <t>Diminue beaucoup les chances d'Explosion</t>
  </si>
  <si>
    <t>Augmente l'exp de 25%</t>
  </si>
  <si>
    <t>Reduit le cd de raffinage d'une minute</t>
  </si>
  <si>
    <t>Mousika</t>
  </si>
  <si>
    <t>Hypérion</t>
  </si>
  <si>
    <t>Coéos</t>
  </si>
  <si>
    <t>Locki</t>
  </si>
  <si>
    <t>Balder</t>
  </si>
  <si>
    <t>Menoetios</t>
  </si>
  <si>
    <t>Freyr</t>
  </si>
  <si>
    <t>Tyr</t>
  </si>
  <si>
    <t>Augmente de 10% l'exp</t>
  </si>
  <si>
    <t>Augmente de 20% l'exp</t>
  </si>
  <si>
    <t>10% chance d'avoir 50% xp en plus</t>
  </si>
  <si>
    <t>20% chance d'avoir 50% xp en plus</t>
  </si>
  <si>
    <t>Double l'xp de l'Epiphanie</t>
  </si>
  <si>
    <t>Triple l'xp de l'Epiphanie</t>
  </si>
  <si>
    <t>Reduit de 2 minutes le délai de l'acceleration</t>
  </si>
  <si>
    <t>Reduit de 3 minutes le délai de l'acceleration</t>
  </si>
  <si>
    <t>10% chance d'avoir 1 transcendance</t>
  </si>
  <si>
    <t>20% chance d'avoir 1 transcendance</t>
  </si>
  <si>
    <t>5% chance d'avoir 2 transcendance</t>
  </si>
  <si>
    <t>5% chance de faire 2 accélérations</t>
  </si>
  <si>
    <t>2 points de talent supp par accélération</t>
  </si>
  <si>
    <t>3 points de talent supp par accélération</t>
  </si>
  <si>
    <t>20% chance de doubler les pts de talents</t>
  </si>
  <si>
    <t>Reduit de 10% les couts des trainers</t>
  </si>
  <si>
    <t>4% de doubler le profit</t>
  </si>
  <si>
    <t>8% de doubler le profit</t>
  </si>
  <si>
    <t>Epiphanie</t>
  </si>
  <si>
    <t>Acceleration</t>
  </si>
  <si>
    <t>Hyppolyte</t>
  </si>
  <si>
    <t>Aite</t>
  </si>
  <si>
    <t>Arae</t>
  </si>
  <si>
    <t>Isis</t>
  </si>
  <si>
    <t>Cerbère</t>
  </si>
  <si>
    <t>Alastor</t>
  </si>
  <si>
    <t>Lion de Némée</t>
  </si>
  <si>
    <t>Ophion/Triton/Ether</t>
  </si>
  <si>
    <t>LE (92)</t>
  </si>
  <si>
    <t>Grammarie</t>
  </si>
  <si>
    <t>Bronze Impur</t>
  </si>
  <si>
    <t>Morceau d'Or</t>
  </si>
  <si>
    <t>Eclats de Bronze</t>
  </si>
  <si>
    <t>Mauvais Bronze</t>
  </si>
  <si>
    <t>Freyja</t>
  </si>
  <si>
    <t>Nut</t>
  </si>
  <si>
    <t>Anubis</t>
  </si>
  <si>
    <t>Stardust's Wrath</t>
  </si>
  <si>
    <t>Panacée</t>
  </si>
  <si>
    <t>Galatée</t>
  </si>
  <si>
    <t>Hödr</t>
  </si>
  <si>
    <t>Enorme Pépite d'Or</t>
  </si>
  <si>
    <t>Bronze Mou</t>
  </si>
  <si>
    <t>Or Doux</t>
  </si>
  <si>
    <t>Quartz Etincelant Bleu</t>
  </si>
  <si>
    <t>+11 Transmut</t>
  </si>
  <si>
    <t>Garde d'Edjo</t>
  </si>
  <si>
    <t>Cavalerie d'Odin</t>
  </si>
  <si>
    <t>Khnum</t>
  </si>
  <si>
    <t>Baliste du Tonnerre</t>
  </si>
  <si>
    <t>LR (112)</t>
  </si>
  <si>
    <t>&lt;1500</t>
  </si>
  <si>
    <t>1500-3000</t>
  </si>
  <si>
    <t>2250 (107-117)</t>
  </si>
  <si>
    <t>LDE (122)</t>
  </si>
  <si>
    <t>&lt;1600</t>
  </si>
  <si>
    <t>1600-3200</t>
  </si>
  <si>
    <t>2400 (117-127)</t>
  </si>
  <si>
    <t>Gros Diamant Opaque</t>
  </si>
  <si>
    <t>Dragon Macédonien</t>
  </si>
  <si>
    <t>Arion</t>
  </si>
  <si>
    <t>LT2 (112)</t>
  </si>
  <si>
    <t>Mage Noir</t>
  </si>
  <si>
    <t>Bronze Cassant</t>
  </si>
  <si>
    <t>Sult</t>
  </si>
  <si>
    <t>La Dernière Licorne</t>
  </si>
  <si>
    <t>Attaque en colonne, Taux de réussite moyen, dégats moyen</t>
  </si>
  <si>
    <t>Combine Physique et Magie, regagne la moitié des troupes, reste actif</t>
  </si>
  <si>
    <t>Combine Physique et Magie, reste actif</t>
  </si>
  <si>
    <t>Combine Physique et Magie, Augmente les chances de blocage, reste actif</t>
  </si>
  <si>
    <t>Combine Physique et Magie, Attaque en Colonne, reste actif</t>
  </si>
  <si>
    <t>Combine Physique et Magie, Chance de semer le chaos, reste actif</t>
  </si>
  <si>
    <t>Combine Physique et Magie, Chance de lancer une attaque supplémentaire, reste actif</t>
  </si>
  <si>
    <t>Combine Physique et Magie, Dégats augmentés avec moins de troupes, reste actif</t>
  </si>
  <si>
    <t>Dégats réduits contre les Elémentaires</t>
  </si>
  <si>
    <t>Messager d'Anubis</t>
  </si>
  <si>
    <t>Jaune = Lv x 3</t>
  </si>
  <si>
    <t>Rouge = Lv x 4</t>
  </si>
  <si>
    <t>Violet = Lv x 5</t>
  </si>
  <si>
    <t>Bronze Brut</t>
  </si>
  <si>
    <t>Dégats réduits contre la Cavalerie</t>
  </si>
  <si>
    <t>Combine Physique et Magie, Attaque en Ligne, reste actif</t>
  </si>
  <si>
    <t>Combine Physique et Magie, Cause de grands Dommages Magiques, mais perds la moitié de ses facultés., reste actif</t>
  </si>
  <si>
    <t>Cristal Brisé</t>
  </si>
  <si>
    <t>Chevalier Sacré</t>
  </si>
  <si>
    <t>Version améliorée du Cheval de Troie Armé, Attaque sur cible unique</t>
  </si>
  <si>
    <t>Bronze Brilliant</t>
  </si>
  <si>
    <t>Attaque Tempête</t>
  </si>
  <si>
    <t>LV (122)</t>
  </si>
  <si>
    <t>1700-3400</t>
  </si>
  <si>
    <t>&lt;1700</t>
  </si>
  <si>
    <t>2550 (117-127)</t>
  </si>
  <si>
    <t>Bronze Pur</t>
  </si>
  <si>
    <t>Cristal Fissuré</t>
  </si>
  <si>
    <t>Hervor</t>
  </si>
  <si>
    <t>Scories de Fer</t>
  </si>
  <si>
    <t>Cristal Impur</t>
  </si>
  <si>
    <t>Quartz Etincelant Vert</t>
  </si>
  <si>
    <t>13h30</t>
  </si>
  <si>
    <t>Soigne la troupe ayant le moins de HP</t>
  </si>
  <si>
    <t>Iphitos</t>
  </si>
  <si>
    <t>Gronru</t>
  </si>
  <si>
    <t>Gros Diamand Fissuré</t>
  </si>
  <si>
    <t>Idunn</t>
  </si>
  <si>
    <t>Vale</t>
  </si>
  <si>
    <t>Fer Cassant</t>
  </si>
  <si>
    <t>Les Merveilleuses Aventures de Nils</t>
  </si>
  <si>
    <t>Olympie</t>
  </si>
  <si>
    <t>Poète</t>
  </si>
  <si>
    <t>Hétéroi</t>
  </si>
  <si>
    <t>Pezhetairoi Doré</t>
  </si>
  <si>
    <t>Oinomaos</t>
  </si>
  <si>
    <t>Curètes</t>
  </si>
  <si>
    <t>La Clé de Salomon</t>
  </si>
  <si>
    <t>Apep</t>
  </si>
  <si>
    <t>Bastet</t>
  </si>
  <si>
    <t>Sobek</t>
  </si>
  <si>
    <t>Armement</t>
  </si>
  <si>
    <t>Heqet</t>
  </si>
  <si>
    <t>Khepri</t>
  </si>
  <si>
    <t>Rathgrith</t>
  </si>
  <si>
    <t>Olrun</t>
  </si>
  <si>
    <t>Herfjotur</t>
  </si>
  <si>
    <t>Hrist</t>
  </si>
  <si>
    <t>Hlokk</t>
  </si>
  <si>
    <t>Hlathguth</t>
  </si>
  <si>
    <t>Agate</t>
  </si>
  <si>
    <t>Skade</t>
  </si>
  <si>
    <t>Tjatse</t>
  </si>
  <si>
    <t>Rind</t>
  </si>
  <si>
    <t>Gevjon</t>
  </si>
  <si>
    <t>Seth</t>
  </si>
  <si>
    <t>Ra</t>
  </si>
  <si>
    <t>Shu</t>
  </si>
  <si>
    <t>Tefnut</t>
  </si>
  <si>
    <t>Nephthys</t>
  </si>
  <si>
    <t>Geb</t>
  </si>
  <si>
    <t>Osiris</t>
  </si>
  <si>
    <t>Stone of Sage</t>
  </si>
  <si>
    <t>Axle of Chariot</t>
  </si>
  <si>
    <t>Rosenbom</t>
  </si>
  <si>
    <t>Wind-Rush</t>
  </si>
  <si>
    <t>Reborn Sun</t>
  </si>
  <si>
    <t>Wheel of Chariot</t>
  </si>
  <si>
    <t>Orpheus's Mourn</t>
  </si>
  <si>
    <t>Greece Fire</t>
  </si>
  <si>
    <t>Hugin</t>
  </si>
  <si>
    <t>Munin</t>
  </si>
  <si>
    <t>Elf</t>
  </si>
  <si>
    <t>Pelops</t>
  </si>
  <si>
    <t>Phorbas</t>
  </si>
  <si>
    <t>Chameau</t>
  </si>
  <si>
    <t>Char Sphynx</t>
  </si>
  <si>
    <t>Char d'Achille</t>
  </si>
  <si>
    <t>Obsidienne</t>
  </si>
  <si>
    <t>Bouclier Grec</t>
  </si>
  <si>
    <t>Lyre de Terpandre</t>
  </si>
  <si>
    <t>Baliste Multiple</t>
  </si>
  <si>
    <t>Lance Grecque</t>
  </si>
  <si>
    <t>Drapeau de l'Ours</t>
  </si>
  <si>
    <t>Gloire d'Hector</t>
  </si>
  <si>
    <t>Furie d'Arès</t>
  </si>
  <si>
    <t xml:space="preserve">Courage d'Hector  </t>
  </si>
  <si>
    <t>Bouclier de Bronze</t>
  </si>
  <si>
    <t>Char d'Oinomaos</t>
  </si>
  <si>
    <t>Pierre Elémentaire</t>
  </si>
  <si>
    <t>Lance de Bronze</t>
  </si>
  <si>
    <t>Baliste Torque</t>
  </si>
  <si>
    <t>Drapeau du Loup</t>
  </si>
  <si>
    <t>Lyre d'Hermès</t>
  </si>
  <si>
    <t>Armement (Def Mag)</t>
  </si>
  <si>
    <t>Armement (Def Elem)</t>
  </si>
  <si>
    <t>Armement (Def Phys)</t>
  </si>
  <si>
    <t>Armement (Atk Phys)</t>
  </si>
  <si>
    <t>Armement (Atk Elem)</t>
  </si>
  <si>
    <t>Armement (Atk Mag)</t>
  </si>
  <si>
    <t>Armement (Faculté)</t>
  </si>
  <si>
    <t>Drapeau de Lion</t>
  </si>
  <si>
    <t>Mélodie de Sappho</t>
  </si>
  <si>
    <t>Baliste Scorpion</t>
  </si>
  <si>
    <t>Bouclier d'Achilles</t>
  </si>
  <si>
    <t>Char de Poséidon</t>
  </si>
  <si>
    <t>Lyre d'Apollon</t>
  </si>
  <si>
    <t>Topaze</t>
  </si>
  <si>
    <t>Lance d'Achilles</t>
  </si>
  <si>
    <t>Baliste Siège</t>
  </si>
  <si>
    <t>Drapeau de la Légion du Tonnerre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</si>
</sst>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  <numFmt numFmtId="168" formatCode="[$-40C]dddd\ 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5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30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36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8"/>
      <color rgb="FF0070C0"/>
      <name val="Calibri"/>
      <family val="2"/>
    </font>
    <font>
      <sz val="8"/>
      <color rgb="FF00B050"/>
      <name val="Calibri"/>
      <family val="2"/>
    </font>
    <font>
      <sz val="8"/>
      <color rgb="FFFFC000"/>
      <name val="Calibri"/>
      <family val="2"/>
    </font>
    <font>
      <sz val="8"/>
      <color rgb="FFFF0000"/>
      <name val="Calibri"/>
      <family val="2"/>
    </font>
    <font>
      <sz val="8"/>
      <color rgb="FF7030A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6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19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1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0" borderId="20" xfId="0" applyFont="1" applyBorder="1" applyAlignment="1">
      <alignment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16" xfId="0" applyFont="1" applyBorder="1" applyAlignment="1" quotePrefix="1">
      <alignment horizontal="center"/>
    </xf>
    <xf numFmtId="0" fontId="47" fillId="0" borderId="16" xfId="0" applyFont="1" applyBorder="1" applyAlignment="1">
      <alignment horizontal="right"/>
    </xf>
    <xf numFmtId="0" fontId="47" fillId="0" borderId="17" xfId="0" applyFont="1" applyBorder="1" applyAlignment="1">
      <alignment horizontal="right"/>
    </xf>
    <xf numFmtId="0" fontId="47" fillId="0" borderId="15" xfId="0" applyFont="1" applyBorder="1" applyAlignment="1">
      <alignment horizontal="right"/>
    </xf>
    <xf numFmtId="0" fontId="52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47" fillId="0" borderId="16" xfId="0" applyFont="1" applyBorder="1" applyAlignment="1">
      <alignment/>
    </xf>
    <xf numFmtId="0" fontId="47" fillId="0" borderId="15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33" borderId="16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47" fillId="0" borderId="13" xfId="0" applyFont="1" applyFill="1" applyBorder="1" applyAlignment="1">
      <alignment/>
    </xf>
    <xf numFmtId="0" fontId="47" fillId="33" borderId="25" xfId="0" applyFont="1" applyFill="1" applyBorder="1" applyAlignment="1">
      <alignment/>
    </xf>
    <xf numFmtId="0" fontId="51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6" fillId="33" borderId="13" xfId="0" applyFont="1" applyFill="1" applyBorder="1" applyAlignment="1">
      <alignment/>
    </xf>
    <xf numFmtId="0" fontId="26" fillId="33" borderId="16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/>
    </xf>
    <xf numFmtId="0" fontId="47" fillId="0" borderId="28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33" borderId="15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9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51" fillId="0" borderId="11" xfId="0" applyFont="1" applyBorder="1" applyAlignment="1">
      <alignment/>
    </xf>
    <xf numFmtId="0" fontId="50" fillId="0" borderId="19" xfId="0" applyFont="1" applyBorder="1" applyAlignment="1">
      <alignment/>
    </xf>
    <xf numFmtId="0" fontId="47" fillId="34" borderId="0" xfId="0" applyFont="1" applyFill="1" applyAlignment="1">
      <alignment horizontal="center"/>
    </xf>
    <xf numFmtId="0" fontId="52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27" xfId="0" applyFont="1" applyBorder="1" applyAlignment="1">
      <alignment horizontal="center"/>
    </xf>
    <xf numFmtId="0" fontId="47" fillId="35" borderId="15" xfId="0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/>
    </xf>
    <xf numFmtId="0" fontId="47" fillId="35" borderId="16" xfId="0" applyFont="1" applyFill="1" applyBorder="1" applyAlignment="1" quotePrefix="1">
      <alignment horizontal="center"/>
    </xf>
    <xf numFmtId="0" fontId="50" fillId="35" borderId="16" xfId="0" applyFont="1" applyFill="1" applyBorder="1" applyAlignment="1">
      <alignment horizontal="center"/>
    </xf>
    <xf numFmtId="9" fontId="47" fillId="33" borderId="0" xfId="0" applyNumberFormat="1" applyFont="1" applyFill="1" applyAlignment="1">
      <alignment horizontal="center"/>
    </xf>
    <xf numFmtId="9" fontId="47" fillId="33" borderId="10" xfId="0" applyNumberFormat="1" applyFont="1" applyFill="1" applyBorder="1" applyAlignment="1">
      <alignment horizontal="center"/>
    </xf>
    <xf numFmtId="9" fontId="47" fillId="33" borderId="0" xfId="0" applyNumberFormat="1" applyFont="1" applyFill="1" applyBorder="1" applyAlignment="1">
      <alignment horizontal="center"/>
    </xf>
    <xf numFmtId="9" fontId="47" fillId="33" borderId="13" xfId="0" applyNumberFormat="1" applyFont="1" applyFill="1" applyBorder="1" applyAlignment="1">
      <alignment horizontal="center"/>
    </xf>
    <xf numFmtId="9" fontId="47" fillId="36" borderId="0" xfId="0" applyNumberFormat="1" applyFont="1" applyFill="1" applyAlignment="1">
      <alignment horizontal="center"/>
    </xf>
    <xf numFmtId="9" fontId="47" fillId="36" borderId="13" xfId="0" applyNumberFormat="1" applyFont="1" applyFill="1" applyBorder="1" applyAlignment="1">
      <alignment horizontal="center"/>
    </xf>
    <xf numFmtId="9" fontId="47" fillId="37" borderId="0" xfId="0" applyNumberFormat="1" applyFont="1" applyFill="1" applyAlignment="1">
      <alignment horizontal="center"/>
    </xf>
    <xf numFmtId="9" fontId="47" fillId="37" borderId="13" xfId="0" applyNumberFormat="1" applyFont="1" applyFill="1" applyBorder="1" applyAlignment="1">
      <alignment horizontal="center"/>
    </xf>
    <xf numFmtId="9" fontId="47" fillId="37" borderId="12" xfId="0" applyNumberFormat="1" applyFont="1" applyFill="1" applyBorder="1" applyAlignment="1">
      <alignment horizontal="center"/>
    </xf>
    <xf numFmtId="0" fontId="47" fillId="0" borderId="29" xfId="0" applyFont="1" applyBorder="1" applyAlignment="1">
      <alignment/>
    </xf>
    <xf numFmtId="0" fontId="47" fillId="0" borderId="29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48" fillId="0" borderId="16" xfId="0" applyFont="1" applyBorder="1" applyAlignment="1">
      <alignment/>
    </xf>
    <xf numFmtId="0" fontId="49" fillId="0" borderId="16" xfId="0" applyFont="1" applyBorder="1" applyAlignment="1">
      <alignment/>
    </xf>
    <xf numFmtId="0" fontId="50" fillId="0" borderId="16" xfId="0" applyFont="1" applyBorder="1" applyAlignment="1">
      <alignment/>
    </xf>
    <xf numFmtId="0" fontId="51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1" fillId="0" borderId="14" xfId="0" applyFont="1" applyBorder="1" applyAlignment="1">
      <alignment/>
    </xf>
    <xf numFmtId="0" fontId="47" fillId="0" borderId="0" xfId="0" applyFont="1" applyAlignment="1" quotePrefix="1">
      <alignment/>
    </xf>
    <xf numFmtId="0" fontId="52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9" fontId="47" fillId="37" borderId="0" xfId="0" applyNumberFormat="1" applyFont="1" applyFill="1" applyBorder="1" applyAlignment="1">
      <alignment horizontal="center"/>
    </xf>
    <xf numFmtId="9" fontId="47" fillId="36" borderId="0" xfId="0" applyNumberFormat="1" applyFont="1" applyFill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0" xfId="0" applyFont="1" applyAlignment="1">
      <alignment vertical="center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5">
    <dxf>
      <font>
        <color rgb="FF0070C0"/>
      </font>
    </dxf>
    <dxf>
      <font>
        <color rgb="FFFFC000"/>
      </font>
    </dxf>
    <dxf>
      <font>
        <color rgb="FFFF0000"/>
      </font>
    </dxf>
    <dxf>
      <font>
        <color rgb="FF0070C0"/>
      </font>
    </dxf>
    <dxf>
      <font>
        <color rgb="FFFFC000"/>
      </font>
    </dxf>
    <dxf>
      <font>
        <color rgb="FFFF0000"/>
      </font>
    </dxf>
    <dxf>
      <font>
        <color rgb="FF0070C0"/>
      </font>
    </dxf>
    <dxf>
      <font>
        <color rgb="FFFFC000"/>
      </font>
    </dxf>
    <dxf>
      <font>
        <color rgb="FFFF0000"/>
      </font>
    </dxf>
    <dxf>
      <font>
        <color rgb="FF0070C0"/>
      </font>
    </dxf>
    <dxf>
      <font>
        <color rgb="FFFFC000"/>
      </font>
    </dxf>
    <dxf>
      <font>
        <color rgb="FFFF0000"/>
      </font>
    </dxf>
    <dxf>
      <font>
        <color rgb="FFFF0000"/>
      </font>
      <border/>
    </dxf>
    <dxf>
      <font>
        <color rgb="FFFFC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J23" sqref="J23"/>
    </sheetView>
  </sheetViews>
  <sheetFormatPr defaultColWidth="11.421875" defaultRowHeight="15"/>
  <cols>
    <col min="1" max="1" width="19.7109375" style="1" bestFit="1" customWidth="1"/>
    <col min="2" max="2" width="25.28125" style="2" bestFit="1" customWidth="1"/>
    <col min="3" max="3" width="19.28125" style="2" bestFit="1" customWidth="1"/>
    <col min="4" max="4" width="2.28125" style="1" customWidth="1"/>
    <col min="5" max="5" width="8.140625" style="1" bestFit="1" customWidth="1"/>
    <col min="6" max="6" width="3.57421875" style="1" bestFit="1" customWidth="1"/>
    <col min="7" max="7" width="21.8515625" style="1" bestFit="1" customWidth="1"/>
    <col min="8" max="8" width="29.140625" style="1" bestFit="1" customWidth="1"/>
    <col min="9" max="9" width="20.421875" style="1" bestFit="1" customWidth="1"/>
    <col min="10" max="10" width="23.00390625" style="2" bestFit="1" customWidth="1"/>
    <col min="11" max="16384" width="11.421875" style="1" customWidth="1"/>
  </cols>
  <sheetData>
    <row r="1" spans="1:10" ht="12" thickBot="1">
      <c r="A1" s="8" t="s">
        <v>29</v>
      </c>
      <c r="B1" s="11" t="s">
        <v>30</v>
      </c>
      <c r="C1" s="11" t="s">
        <v>31</v>
      </c>
      <c r="E1" s="1" t="s">
        <v>34</v>
      </c>
      <c r="F1" s="2">
        <v>120</v>
      </c>
      <c r="G1" s="67" t="s">
        <v>284</v>
      </c>
      <c r="H1" s="3"/>
      <c r="I1" s="3"/>
      <c r="J1" s="4" t="s">
        <v>465</v>
      </c>
    </row>
    <row r="2" spans="1:10" ht="11.25">
      <c r="A2" s="9" t="s">
        <v>32</v>
      </c>
      <c r="B2" s="12" t="s">
        <v>33</v>
      </c>
      <c r="C2" s="12" t="str">
        <f>CONCATENATE(F1*10," Silver")</f>
        <v>1200 Silver</v>
      </c>
      <c r="G2" s="68" t="s">
        <v>252</v>
      </c>
      <c r="H2" s="89" t="s">
        <v>1356</v>
      </c>
      <c r="I2" s="89" t="str">
        <f>CONCATENATE($F$1*30," Drachmes")</f>
        <v>3600 Drachmes</v>
      </c>
      <c r="J2" s="74" t="s">
        <v>677</v>
      </c>
    </row>
    <row r="3" spans="1:10" ht="11.25">
      <c r="A3" s="9" t="s">
        <v>35</v>
      </c>
      <c r="B3" s="12" t="s">
        <v>36</v>
      </c>
      <c r="C3" s="12" t="s">
        <v>37</v>
      </c>
      <c r="G3" s="68" t="s">
        <v>234</v>
      </c>
      <c r="H3" s="89" t="s">
        <v>1357</v>
      </c>
      <c r="I3" s="89" t="str">
        <f>CONCATENATE($F$1*35," Drachmes")</f>
        <v>4200 Drachmes</v>
      </c>
      <c r="J3" s="74" t="s">
        <v>470</v>
      </c>
    </row>
    <row r="4" spans="1:10" ht="11.25">
      <c r="A4" s="9" t="s">
        <v>38</v>
      </c>
      <c r="B4" s="12" t="s">
        <v>39</v>
      </c>
      <c r="C4" s="12" t="str">
        <f>CONCATENATE(F1*30," Silver")</f>
        <v>3600 Silver</v>
      </c>
      <c r="G4" s="68" t="s">
        <v>238</v>
      </c>
      <c r="H4" s="89" t="str">
        <f>CONCATENATE($F$1*3," Prestige")</f>
        <v>360 Prestige</v>
      </c>
      <c r="I4" s="89" t="s">
        <v>1358</v>
      </c>
      <c r="J4" s="74" t="s">
        <v>939</v>
      </c>
    </row>
    <row r="5" spans="1:10" ht="11.25">
      <c r="A5" s="9" t="s">
        <v>40</v>
      </c>
      <c r="B5" s="12" t="s">
        <v>33</v>
      </c>
      <c r="C5" s="12" t="str">
        <f>CONCATENATE(F1*25," Silver")</f>
        <v>3000 Silver</v>
      </c>
      <c r="G5" s="68" t="s">
        <v>242</v>
      </c>
      <c r="H5" s="89" t="str">
        <f>CONCATENATE($F$1*5," Prestige, TaxCD -30m")</f>
        <v>600 Prestige, TaxCD -30m</v>
      </c>
      <c r="I5" s="89" t="s">
        <v>1358</v>
      </c>
      <c r="J5" s="74" t="s">
        <v>916</v>
      </c>
    </row>
    <row r="6" spans="1:10" ht="11.25">
      <c r="A6" s="9" t="s">
        <v>42</v>
      </c>
      <c r="B6" s="12" t="s">
        <v>36</v>
      </c>
      <c r="C6" s="12" t="str">
        <f>CONCATENATE(F1*3," Prestige")</f>
        <v>360 Prestige</v>
      </c>
      <c r="G6" s="68" t="s">
        <v>235</v>
      </c>
      <c r="H6" s="89" t="str">
        <f>CONCATENATE($F$1*30," Drachmes")</f>
        <v>3600 Drachmes</v>
      </c>
      <c r="I6" s="89" t="s">
        <v>1356</v>
      </c>
      <c r="J6" s="74" t="s">
        <v>917</v>
      </c>
    </row>
    <row r="7" spans="1:10" ht="11.25">
      <c r="A7" s="9" t="s">
        <v>43</v>
      </c>
      <c r="B7" s="12" t="s">
        <v>255</v>
      </c>
      <c r="C7" s="12" t="s">
        <v>44</v>
      </c>
      <c r="G7" s="68" t="s">
        <v>267</v>
      </c>
      <c r="H7" s="89" t="str">
        <f>CONCATENATE($F$1*4," Prestige")</f>
        <v>480 Prestige</v>
      </c>
      <c r="I7" s="89" t="str">
        <f>CONCATENATE($F$1*5," Drachmes, Loyauté +5")</f>
        <v>600 Drachmes, Loyauté +5</v>
      </c>
      <c r="J7" s="74" t="s">
        <v>1012</v>
      </c>
    </row>
    <row r="8" spans="1:10" ht="11.25">
      <c r="A8" s="9" t="s">
        <v>45</v>
      </c>
      <c r="B8" s="12" t="str">
        <f>CONCATENATE(F1*4," Prestige")</f>
        <v>480 Prestige</v>
      </c>
      <c r="C8" s="12" t="str">
        <f>CONCATENATE(F1*5," Silver, Loyalty +5")</f>
        <v>600 Silver, Loyalty +5</v>
      </c>
      <c r="G8" s="68" t="s">
        <v>232</v>
      </c>
      <c r="H8" s="89" t="s">
        <v>1358</v>
      </c>
      <c r="I8" s="91" t="s">
        <v>1363</v>
      </c>
      <c r="J8" s="74" t="s">
        <v>466</v>
      </c>
    </row>
    <row r="9" spans="1:10" ht="11.25">
      <c r="A9" s="9" t="s">
        <v>46</v>
      </c>
      <c r="B9" s="12" t="str">
        <f>CONCATENATE(F1*3," Prestige")</f>
        <v>360 Prestige</v>
      </c>
      <c r="C9" s="12" t="s">
        <v>36</v>
      </c>
      <c r="G9" s="68" t="s">
        <v>250</v>
      </c>
      <c r="H9" s="89" t="s">
        <v>1356</v>
      </c>
      <c r="I9" s="89" t="str">
        <f>CONCATENATE($F$1*3," Prestige")</f>
        <v>360 Prestige</v>
      </c>
      <c r="J9" s="74" t="s">
        <v>1013</v>
      </c>
    </row>
    <row r="10" spans="1:10" ht="11.25">
      <c r="A10" s="9" t="s">
        <v>47</v>
      </c>
      <c r="B10" s="12" t="str">
        <f>CONCATENATE(F1*2," Prestige")</f>
        <v>240 Prestige</v>
      </c>
      <c r="C10" s="12" t="str">
        <f>CONCATENATE(F1*35," Silver")</f>
        <v>4200 Silver</v>
      </c>
      <c r="G10" s="68" t="s">
        <v>240</v>
      </c>
      <c r="H10" s="89" t="s">
        <v>1358</v>
      </c>
      <c r="I10" s="91" t="s">
        <v>1363</v>
      </c>
      <c r="J10" s="74" t="s">
        <v>1010</v>
      </c>
    </row>
    <row r="11" spans="1:10" ht="11.25">
      <c r="A11" s="9" t="s">
        <v>48</v>
      </c>
      <c r="B11" s="12" t="s">
        <v>41</v>
      </c>
      <c r="C11" s="12" t="s">
        <v>49</v>
      </c>
      <c r="G11" s="68" t="s">
        <v>260</v>
      </c>
      <c r="H11" s="89" t="s">
        <v>1357</v>
      </c>
      <c r="I11" s="89" t="str">
        <f>CONCATENATE("- ",$F$1*20," Drachmes, Loyauté +8")</f>
        <v>- 2400 Drachmes, Loyauté +8</v>
      </c>
      <c r="J11" s="2" t="s">
        <v>1002</v>
      </c>
    </row>
    <row r="12" spans="1:10" ht="11.25">
      <c r="A12" s="9" t="s">
        <v>50</v>
      </c>
      <c r="B12" s="12" t="str">
        <f>CONCATENATE(F1*5," Prestige, Loyalty +4, Tax +1")</f>
        <v>600 Prestige, Loyalty +4, Tax +1</v>
      </c>
      <c r="C12" s="12" t="str">
        <f>CONCATENATE(F1*35," Silver")</f>
        <v>4200 Silver</v>
      </c>
      <c r="G12" s="68" t="s">
        <v>226</v>
      </c>
      <c r="H12" s="89" t="s">
        <v>1359</v>
      </c>
      <c r="I12" s="89" t="str">
        <f>CONCATENATE($F$1*20," Drachmes")</f>
        <v>2400 Drachmes</v>
      </c>
      <c r="J12" s="74" t="s">
        <v>464</v>
      </c>
    </row>
    <row r="13" spans="1:10" ht="11.25">
      <c r="A13" s="9" t="s">
        <v>51</v>
      </c>
      <c r="B13" s="12" t="s">
        <v>41</v>
      </c>
      <c r="C13" s="12" t="s">
        <v>36</v>
      </c>
      <c r="G13" s="68" t="s">
        <v>265</v>
      </c>
      <c r="H13" s="89" t="s">
        <v>1356</v>
      </c>
      <c r="I13" s="89" t="s">
        <v>1362</v>
      </c>
      <c r="J13" s="74" t="s">
        <v>1168</v>
      </c>
    </row>
    <row r="14" spans="1:10" ht="11.25">
      <c r="A14" s="9" t="s">
        <v>52</v>
      </c>
      <c r="B14" s="12" t="s">
        <v>41</v>
      </c>
      <c r="C14" s="12" t="str">
        <f>CONCATENATE("- ",F1*20," Silver, Loyalty +8")</f>
        <v>- 2400 Silver, Loyalty +8</v>
      </c>
      <c r="G14" s="68" t="s">
        <v>273</v>
      </c>
      <c r="H14" s="89" t="str">
        <f>CONCATENATE($F$1*7," Prestige, ",$F$1*40," Drachmes")</f>
        <v>840 Prestige, 4800 Drachmes</v>
      </c>
      <c r="I14" s="89" t="s">
        <v>1371</v>
      </c>
      <c r="J14" s="2" t="s">
        <v>1223</v>
      </c>
    </row>
    <row r="15" spans="1:10" ht="11.25">
      <c r="A15" s="9" t="s">
        <v>53</v>
      </c>
      <c r="B15" s="12" t="str">
        <f>CONCATENATE(F1*7," Prestige, ",F1*30," Silver")</f>
        <v>840 Prestige, 3600 Silver</v>
      </c>
      <c r="C15" s="12" t="s">
        <v>39</v>
      </c>
      <c r="G15" s="68" t="s">
        <v>271</v>
      </c>
      <c r="H15" s="89" t="s">
        <v>1357</v>
      </c>
      <c r="I15" s="91" t="s">
        <v>1364</v>
      </c>
      <c r="J15" s="2" t="s">
        <v>1161</v>
      </c>
    </row>
    <row r="16" spans="1:10" ht="11.25">
      <c r="A16" s="9" t="s">
        <v>54</v>
      </c>
      <c r="B16" s="12" t="s">
        <v>39</v>
      </c>
      <c r="C16" s="12" t="str">
        <f>CONCATENATE(F1*1," Prestige")</f>
        <v>120 Prestige</v>
      </c>
      <c r="G16" s="68" t="s">
        <v>270</v>
      </c>
      <c r="H16" s="89" t="s">
        <v>1356</v>
      </c>
      <c r="I16" s="89" t="str">
        <f>CONCATENATE($F$1*30," Drachmes")</f>
        <v>3600 Drachmes</v>
      </c>
      <c r="J16" s="74" t="s">
        <v>1185</v>
      </c>
    </row>
    <row r="17" spans="1:10" ht="11.25">
      <c r="A17" s="9" t="s">
        <v>55</v>
      </c>
      <c r="B17" s="12" t="s">
        <v>39</v>
      </c>
      <c r="C17" s="12" t="s">
        <v>266</v>
      </c>
      <c r="G17" s="68" t="s">
        <v>277</v>
      </c>
      <c r="H17" s="89" t="str">
        <f>CONCATENATE($F$1*1," Prestige")</f>
        <v>120 Prestige</v>
      </c>
      <c r="I17" s="89" t="s">
        <v>62</v>
      </c>
      <c r="J17" s="74" t="s">
        <v>870</v>
      </c>
    </row>
    <row r="18" spans="1:10" ht="11.25">
      <c r="A18" s="9" t="s">
        <v>56</v>
      </c>
      <c r="B18" s="12" t="str">
        <f>CONCATENATE(F1*5," Prestige")</f>
        <v>600 Prestige</v>
      </c>
      <c r="C18" s="12" t="s">
        <v>41</v>
      </c>
      <c r="G18" s="68" t="s">
        <v>253</v>
      </c>
      <c r="H18" s="89" t="s">
        <v>1358</v>
      </c>
      <c r="I18" s="89" t="str">
        <f>CONCATENATE($F$1*3," Prestige")</f>
        <v>360 Prestige</v>
      </c>
      <c r="J18" s="74" t="s">
        <v>941</v>
      </c>
    </row>
    <row r="19" spans="1:10" ht="11.25">
      <c r="A19" s="9" t="s">
        <v>57</v>
      </c>
      <c r="B19" s="12" t="s">
        <v>39</v>
      </c>
      <c r="C19" s="12" t="str">
        <f>CONCATENATE(F1*30," Silver")</f>
        <v>3600 Silver</v>
      </c>
      <c r="G19" s="68" t="s">
        <v>256</v>
      </c>
      <c r="H19" s="89" t="str">
        <f>CONCATENATE($F$1*2," Prestige")</f>
        <v>240 Prestige</v>
      </c>
      <c r="I19" s="89" t="str">
        <f>CONCATENATE($F$1*35," Drachmes")</f>
        <v>4200 Drachmes</v>
      </c>
      <c r="J19" s="74" t="s">
        <v>947</v>
      </c>
    </row>
    <row r="20" spans="1:10" ht="11.25">
      <c r="A20" s="9" t="s">
        <v>58</v>
      </c>
      <c r="B20" s="12" t="str">
        <f>CONCATENATE(F1*7," Prestige, ",F1*30," Silver, Tax +1")</f>
        <v>840 Prestige, 3600 Silver, Tax +1</v>
      </c>
      <c r="C20" s="12" t="s">
        <v>275</v>
      </c>
      <c r="G20" s="68" t="s">
        <v>257</v>
      </c>
      <c r="H20" s="89" t="str">
        <f>CONCATENATE($F$1*3," Prestige")</f>
        <v>360 Prestige</v>
      </c>
      <c r="I20" s="89" t="str">
        <f>CONCATENATE("- ",$F$1*20," Drachmes, Loyauté +7")</f>
        <v>- 2400 Drachmes, Loyauté +7</v>
      </c>
      <c r="J20" s="2" t="s">
        <v>914</v>
      </c>
    </row>
    <row r="21" spans="1:10" ht="11.25">
      <c r="A21" s="9" t="s">
        <v>59</v>
      </c>
      <c r="B21" s="12" t="str">
        <f>CONCATENATE(F1*4," Prestige")</f>
        <v>480 Prestige</v>
      </c>
      <c r="C21" s="12" t="str">
        <f>CONCATENATE(F1*25," Silver")</f>
        <v>3000 Silver</v>
      </c>
      <c r="G21" s="68" t="s">
        <v>276</v>
      </c>
      <c r="H21" s="89" t="str">
        <f>CONCATENATE($F$1*7," Prestige, ",$F$1*30," Drachmes")</f>
        <v>840 Prestige, 3600 Drachmes</v>
      </c>
      <c r="I21" s="89" t="s">
        <v>1356</v>
      </c>
      <c r="J21" s="74" t="s">
        <v>911</v>
      </c>
    </row>
    <row r="22" spans="1:10" ht="11.25">
      <c r="A22" s="9" t="s">
        <v>60</v>
      </c>
      <c r="B22" s="12" t="s">
        <v>61</v>
      </c>
      <c r="C22" s="12" t="s">
        <v>62</v>
      </c>
      <c r="G22" s="68" t="s">
        <v>251</v>
      </c>
      <c r="H22" s="89" t="s">
        <v>1358</v>
      </c>
      <c r="I22" s="89" t="str">
        <f>CONCATENATE($F$1*3," Prestige")</f>
        <v>360 Prestige</v>
      </c>
      <c r="J22" s="74" t="s">
        <v>1006</v>
      </c>
    </row>
    <row r="23" spans="1:10" ht="11.25">
      <c r="A23" s="9" t="s">
        <v>63</v>
      </c>
      <c r="B23" s="12" t="s">
        <v>36</v>
      </c>
      <c r="C23" s="12" t="str">
        <f>CONCATENATE(F1*10," Silver")</f>
        <v>1200 Silver</v>
      </c>
      <c r="G23" s="68" t="s">
        <v>225</v>
      </c>
      <c r="H23" s="89" t="s">
        <v>1357</v>
      </c>
      <c r="I23" s="89" t="s">
        <v>1358</v>
      </c>
      <c r="J23" s="74" t="s">
        <v>473</v>
      </c>
    </row>
    <row r="24" spans="1:10" ht="11.25">
      <c r="A24" s="9" t="s">
        <v>64</v>
      </c>
      <c r="B24" s="12" t="str">
        <f>CONCATENATE(F1*1," Prestige")</f>
        <v>120 Prestige</v>
      </c>
      <c r="C24" s="12" t="s">
        <v>62</v>
      </c>
      <c r="G24" s="68" t="s">
        <v>229</v>
      </c>
      <c r="H24" s="89" t="s">
        <v>1359</v>
      </c>
      <c r="I24" s="89" t="s">
        <v>1357</v>
      </c>
      <c r="J24" s="2" t="s">
        <v>920</v>
      </c>
    </row>
    <row r="25" spans="1:10" ht="11.25">
      <c r="A25" s="9" t="s">
        <v>97</v>
      </c>
      <c r="B25" s="12" t="str">
        <f>CONCATENATE(F1*5," Prestige, TaxCD -30m")</f>
        <v>600 Prestige, TaxCD -30m</v>
      </c>
      <c r="C25" s="12" t="s">
        <v>36</v>
      </c>
      <c r="G25" s="68" t="s">
        <v>272</v>
      </c>
      <c r="H25" s="89" t="s">
        <v>1369</v>
      </c>
      <c r="I25" s="89" t="s">
        <v>1356</v>
      </c>
      <c r="J25" s="2" t="s">
        <v>1087</v>
      </c>
    </row>
    <row r="26" spans="1:10" ht="11.25">
      <c r="A26" s="9" t="s">
        <v>65</v>
      </c>
      <c r="B26" s="12" t="s">
        <v>33</v>
      </c>
      <c r="C26" s="12" t="str">
        <f>CONCATENATE(F1*20," Silver")</f>
        <v>2400 Silver</v>
      </c>
      <c r="G26" s="68" t="s">
        <v>233</v>
      </c>
      <c r="H26" s="89" t="s">
        <v>1356</v>
      </c>
      <c r="I26" s="89" t="str">
        <f>CONCATENATE($F$1*15," Drachmes")</f>
        <v>1800 Drachmes</v>
      </c>
      <c r="J26" s="74" t="s">
        <v>468</v>
      </c>
    </row>
    <row r="27" spans="1:10" ht="11.25">
      <c r="A27" s="9" t="s">
        <v>66</v>
      </c>
      <c r="B27" s="12" t="s">
        <v>36</v>
      </c>
      <c r="C27" s="12" t="str">
        <f>CONCATENATE(F1*4," Prestige")</f>
        <v>480 Prestige</v>
      </c>
      <c r="G27" s="68" t="s">
        <v>246</v>
      </c>
      <c r="H27" s="89" t="str">
        <f>CONCATENATE($F$1*4," Prestige")</f>
        <v>480 Prestige</v>
      </c>
      <c r="I27" s="89" t="s">
        <v>1357</v>
      </c>
      <c r="J27" s="2" t="s">
        <v>1073</v>
      </c>
    </row>
    <row r="28" spans="1:10" ht="11.25">
      <c r="A28" s="9" t="s">
        <v>67</v>
      </c>
      <c r="B28" s="12" t="s">
        <v>39</v>
      </c>
      <c r="C28" s="12" t="str">
        <f>CONCATENATE(F1*3," Prestige")</f>
        <v>360 Prestige</v>
      </c>
      <c r="G28" s="68" t="s">
        <v>241</v>
      </c>
      <c r="H28" s="89" t="str">
        <f>CONCATENATE($F$1*5," Prestige")</f>
        <v>600 Prestige</v>
      </c>
      <c r="I28" s="89" t="s">
        <v>1357</v>
      </c>
      <c r="J28" s="74" t="s">
        <v>954</v>
      </c>
    </row>
    <row r="29" spans="1:10" ht="11.25">
      <c r="A29" s="9" t="s">
        <v>68</v>
      </c>
      <c r="B29" s="40" t="s">
        <v>69</v>
      </c>
      <c r="C29" s="12" t="str">
        <f>CONCATENATE(F1*2," Prestige, Gold +10")</f>
        <v>240 Prestige, Gold +10</v>
      </c>
      <c r="G29" s="68" t="s">
        <v>247</v>
      </c>
      <c r="H29" s="91" t="s">
        <v>1365</v>
      </c>
      <c r="I29" s="89" t="str">
        <f>CONCATENATE($F$1*10," Drachmes, Loyauté +5")</f>
        <v>1200 Drachmes, Loyauté +5</v>
      </c>
      <c r="J29" s="74" t="s">
        <v>949</v>
      </c>
    </row>
    <row r="30" spans="1:10" ht="11.25">
      <c r="A30" s="9" t="s">
        <v>70</v>
      </c>
      <c r="B30" s="12" t="s">
        <v>33</v>
      </c>
      <c r="C30" s="12" t="str">
        <f>CONCATENATE(F1*25," Silver")</f>
        <v>3000 Silver</v>
      </c>
      <c r="G30" s="68" t="s">
        <v>254</v>
      </c>
      <c r="H30" s="89" t="s">
        <v>255</v>
      </c>
      <c r="I30" s="91" t="s">
        <v>1365</v>
      </c>
      <c r="J30" s="74" t="s">
        <v>944</v>
      </c>
    </row>
    <row r="31" spans="1:10" ht="11.25">
      <c r="A31" s="9" t="s">
        <v>71</v>
      </c>
      <c r="B31" s="12" t="s">
        <v>41</v>
      </c>
      <c r="C31" s="12" t="str">
        <f>CONCATENATE(F1*3," Prestige")</f>
        <v>360 Prestige</v>
      </c>
      <c r="G31" s="68" t="s">
        <v>262</v>
      </c>
      <c r="H31" s="89" t="s">
        <v>1360</v>
      </c>
      <c r="I31" s="89" t="s">
        <v>62</v>
      </c>
      <c r="J31" s="74" t="s">
        <v>948</v>
      </c>
    </row>
    <row r="32" spans="1:10" ht="11.25">
      <c r="A32" s="9" t="s">
        <v>72</v>
      </c>
      <c r="B32" s="12" t="s">
        <v>36</v>
      </c>
      <c r="C32" s="12" t="str">
        <f>CONCATENATE(F1*3," Prestige")</f>
        <v>360 Prestige</v>
      </c>
      <c r="G32" s="68" t="s">
        <v>264</v>
      </c>
      <c r="H32" s="89" t="str">
        <f>CONCATENATE($F$1*4," Prestige")</f>
        <v>480 Prestige</v>
      </c>
      <c r="I32" s="89" t="str">
        <f>CONCATENATE($F$1*25," Drachmes")</f>
        <v>3000 Drachmes</v>
      </c>
      <c r="J32" s="74" t="s">
        <v>1179</v>
      </c>
    </row>
    <row r="33" spans="1:10" ht="11.25">
      <c r="A33" s="9" t="s">
        <v>73</v>
      </c>
      <c r="B33" s="12" t="str">
        <f>CONCATENATE(F1*7," Prestige, ",F1*40," Silver")</f>
        <v>840 Prestige, 4800 Silver</v>
      </c>
      <c r="C33" s="12" t="s">
        <v>74</v>
      </c>
      <c r="G33" s="68" t="s">
        <v>263</v>
      </c>
      <c r="H33" s="89" t="s">
        <v>1370</v>
      </c>
      <c r="I33" s="89" t="str">
        <f>CONCATENATE($F$1*7," Prestige")</f>
        <v>840 Prestige</v>
      </c>
      <c r="J33" s="74" t="s">
        <v>910</v>
      </c>
    </row>
    <row r="34" spans="1:10" ht="11.25">
      <c r="A34" s="9" t="s">
        <v>75</v>
      </c>
      <c r="B34" s="12" t="str">
        <f>CONCATENATE(F1*1," Prestige, ",F1*10," Silver, Loyalty +5")</f>
        <v>120 Prestige, 1200 Silver, Loyalty +5</v>
      </c>
      <c r="C34" s="12" t="s">
        <v>36</v>
      </c>
      <c r="G34" s="68" t="s">
        <v>243</v>
      </c>
      <c r="H34" s="89" t="s">
        <v>1358</v>
      </c>
      <c r="I34" s="89" t="str">
        <f>CONCATENATE($F$1*4," Prestige")</f>
        <v>480 Prestige</v>
      </c>
      <c r="J34" s="74" t="s">
        <v>999</v>
      </c>
    </row>
    <row r="35" spans="1:10" ht="11.25">
      <c r="A35" s="9" t="s">
        <v>76</v>
      </c>
      <c r="B35" s="12" t="str">
        <f>CONCATENATE(F1*2," Prestige, ",F1*15," Silver, Loyalty +4")</f>
        <v>240 Prestige, 1800 Silver, Loyalty +4</v>
      </c>
      <c r="C35" s="12" t="s">
        <v>36</v>
      </c>
      <c r="G35" s="68" t="s">
        <v>244</v>
      </c>
      <c r="H35" s="89" t="s">
        <v>1361</v>
      </c>
      <c r="I35" s="89" t="str">
        <f>CONCATENATE($F$1*30," Drachmes")</f>
        <v>3600 Drachmes</v>
      </c>
      <c r="J35" s="2" t="s">
        <v>1199</v>
      </c>
    </row>
    <row r="36" spans="1:10" ht="11.25">
      <c r="A36" s="9" t="s">
        <v>77</v>
      </c>
      <c r="B36" s="12" t="str">
        <f>CONCATENATE(F1*30," Silver")</f>
        <v>3600 Silver</v>
      </c>
      <c r="C36" s="12" t="s">
        <v>39</v>
      </c>
      <c r="G36" s="68" t="s">
        <v>268</v>
      </c>
      <c r="H36" s="89" t="s">
        <v>1357</v>
      </c>
      <c r="I36" s="89" t="str">
        <f>CONCATENATE($F$1*3," Prestige")</f>
        <v>360 Prestige</v>
      </c>
      <c r="J36" s="2" t="s">
        <v>1140</v>
      </c>
    </row>
    <row r="37" spans="1:10" ht="11.25">
      <c r="A37" s="9" t="s">
        <v>78</v>
      </c>
      <c r="B37" s="12" t="s">
        <v>36</v>
      </c>
      <c r="C37" s="12" t="s">
        <v>37</v>
      </c>
      <c r="G37" s="68" t="s">
        <v>236</v>
      </c>
      <c r="H37" s="89" t="s">
        <v>1359</v>
      </c>
      <c r="I37" s="89" t="str">
        <f>CONCATENATE($F$1*25," Drachmes")</f>
        <v>3000 Drachmes</v>
      </c>
      <c r="J37" s="74" t="s">
        <v>906</v>
      </c>
    </row>
    <row r="38" spans="1:10" ht="11.25">
      <c r="A38" s="9" t="s">
        <v>79</v>
      </c>
      <c r="B38" s="12" t="s">
        <v>80</v>
      </c>
      <c r="C38" s="12" t="str">
        <f>CONCATENATE(F1*7," Prestige")</f>
        <v>840 Prestige</v>
      </c>
      <c r="G38" s="68" t="s">
        <v>182</v>
      </c>
      <c r="H38" s="89" t="str">
        <f>CONCATENATE($F$1*1," Prestige, ",$F$1*10," Drachmes, Loyauté +5")</f>
        <v>120 Prestige, 1200 Drachmes, Loyauté +5</v>
      </c>
      <c r="I38" s="89" t="s">
        <v>1358</v>
      </c>
      <c r="J38" s="74" t="s">
        <v>921</v>
      </c>
    </row>
    <row r="39" spans="1:10" ht="11.25">
      <c r="A39" s="9" t="s">
        <v>81</v>
      </c>
      <c r="B39" s="12" t="s">
        <v>39</v>
      </c>
      <c r="C39" s="12" t="str">
        <f>CONCATENATE(F1*15," Silver")</f>
        <v>1800 Silver</v>
      </c>
      <c r="G39" s="68" t="s">
        <v>227</v>
      </c>
      <c r="H39" s="89" t="s">
        <v>1359</v>
      </c>
      <c r="I39" s="89" t="str">
        <f>CONCATENATE($F$1*25," Drachmes")</f>
        <v>3000 Drachmes</v>
      </c>
      <c r="J39" s="74" t="s">
        <v>471</v>
      </c>
    </row>
    <row r="40" spans="1:10" ht="11.25">
      <c r="A40" s="9" t="s">
        <v>82</v>
      </c>
      <c r="B40" s="12" t="str">
        <f>CONCATENATE(F1*3," Prestige")</f>
        <v>360 Prestige</v>
      </c>
      <c r="C40" s="12" t="s">
        <v>36</v>
      </c>
      <c r="G40" s="68" t="s">
        <v>245</v>
      </c>
      <c r="H40" s="89" t="s">
        <v>1358</v>
      </c>
      <c r="I40" s="89" t="str">
        <f>CONCATENATE($F$1*25," Drachmes, Loyauté +5")</f>
        <v>3000 Drachmes, Loyauté +5</v>
      </c>
      <c r="J40" s="74" t="s">
        <v>469</v>
      </c>
    </row>
    <row r="41" spans="1:10" ht="11.25">
      <c r="A41" s="9" t="s">
        <v>83</v>
      </c>
      <c r="B41" s="12" t="s">
        <v>84</v>
      </c>
      <c r="C41" s="12" t="str">
        <f>CONCATENATE(F1*30," Silver")</f>
        <v>3600 Silver</v>
      </c>
      <c r="G41" s="68" t="s">
        <v>269</v>
      </c>
      <c r="H41" s="89" t="s">
        <v>1357</v>
      </c>
      <c r="I41" s="89" t="str">
        <f>CONCATENATE($F$1*15," Drachmes")</f>
        <v>1800 Drachmes</v>
      </c>
      <c r="J41" s="2" t="s">
        <v>940</v>
      </c>
    </row>
    <row r="42" spans="1:10" ht="11.25">
      <c r="A42" s="9" t="s">
        <v>85</v>
      </c>
      <c r="B42" s="12" t="s">
        <v>33</v>
      </c>
      <c r="C42" s="12" t="s">
        <v>41</v>
      </c>
      <c r="G42" s="68" t="s">
        <v>259</v>
      </c>
      <c r="H42" s="89" t="str">
        <f>CONCATENATE($F$1*3," Prestige")</f>
        <v>360 Prestige</v>
      </c>
      <c r="I42" s="89" t="s">
        <v>1358</v>
      </c>
      <c r="J42" s="2" t="s">
        <v>1272</v>
      </c>
    </row>
    <row r="43" spans="1:10" ht="11.25">
      <c r="A43" s="9" t="s">
        <v>86</v>
      </c>
      <c r="B43" s="12" t="s">
        <v>44</v>
      </c>
      <c r="C43" s="12" t="str">
        <f>CONCATENATE(F1*10," Silver, Loyalty +5")</f>
        <v>1200 Silver, Loyalty +5</v>
      </c>
      <c r="G43" s="68" t="s">
        <v>249</v>
      </c>
      <c r="H43" s="89" t="str">
        <f>CONCATENATE($F$1*2," Prestige, ",$F$1*15," Drachmes, Loyauté +4")</f>
        <v>240 Prestige, 1800 Drachmes, Loyauté +4</v>
      </c>
      <c r="I43" s="89" t="s">
        <v>1358</v>
      </c>
      <c r="J43" s="2" t="s">
        <v>991</v>
      </c>
    </row>
    <row r="44" spans="1:10" ht="11.25">
      <c r="A44" s="9" t="s">
        <v>87</v>
      </c>
      <c r="B44" s="12" t="str">
        <f>CONCATENATE(F1*30," Silver")</f>
        <v>3600 Silver</v>
      </c>
      <c r="C44" s="12" t="s">
        <v>36</v>
      </c>
      <c r="G44" s="68" t="s">
        <v>239</v>
      </c>
      <c r="H44" s="89" t="str">
        <f>CONCATENATE($F$1*5," Prestige, Loyauté +4, Tax +1")</f>
        <v>600 Prestige, Loyauté +4, Tax +1</v>
      </c>
      <c r="I44" s="89" t="str">
        <f>CONCATENATE($F$1*35," Drachmes")</f>
        <v>4200 Drachmes</v>
      </c>
      <c r="J44" s="74" t="s">
        <v>1009</v>
      </c>
    </row>
    <row r="45" spans="1:10" ht="11.25">
      <c r="A45" s="9" t="s">
        <v>88</v>
      </c>
      <c r="B45" s="12" t="s">
        <v>41</v>
      </c>
      <c r="C45" s="12" t="str">
        <f>CONCATENATE(F1*3," Prestige")</f>
        <v>360 Prestige</v>
      </c>
      <c r="G45" s="68" t="s">
        <v>274</v>
      </c>
      <c r="H45" s="89" t="str">
        <f>CONCATENATE($F$1*7," Prestige, ",$F$1*30," Drachmes, Tax +1")</f>
        <v>840 Prestige, 3600 Drachmes, Tax +1</v>
      </c>
      <c r="I45" s="89" t="s">
        <v>1372</v>
      </c>
      <c r="J45" s="74" t="s">
        <v>1176</v>
      </c>
    </row>
    <row r="46" spans="1:10" ht="11.25">
      <c r="A46" s="9" t="s">
        <v>89</v>
      </c>
      <c r="B46" s="12" t="s">
        <v>90</v>
      </c>
      <c r="C46" s="12" t="s">
        <v>39</v>
      </c>
      <c r="G46" s="68" t="s">
        <v>228</v>
      </c>
      <c r="H46" s="89" t="s">
        <v>1359</v>
      </c>
      <c r="I46" s="89" t="str">
        <f>CONCATENATE($F$1*10," Drachmes")</f>
        <v>1200 Drachmes</v>
      </c>
      <c r="J46" s="74" t="s">
        <v>678</v>
      </c>
    </row>
    <row r="47" spans="1:10" ht="11.25">
      <c r="A47" s="9" t="s">
        <v>91</v>
      </c>
      <c r="B47" s="12" t="str">
        <f>CONCATENATE(F1*3," Prestige")</f>
        <v>360 Prestige</v>
      </c>
      <c r="C47" s="12" t="str">
        <f>CONCATENATE("- ",F1*20," Silver, Loyalty +7")</f>
        <v>- 2400 Silver, Loyalty +7</v>
      </c>
      <c r="G47" s="68" t="s">
        <v>248</v>
      </c>
      <c r="H47" s="90" t="str">
        <f>CONCATENATE("- ",$F$1*10," Drachmes, Tax +1, Loyauté +4")</f>
        <v>- 1200 Drachmes, Tax +1, Loyauté +4</v>
      </c>
      <c r="I47" s="89" t="str">
        <f>CONCATENATE($F$1*2," Prestige, Or +10")</f>
        <v>240 Prestige, Or +10</v>
      </c>
      <c r="J47" s="74" t="s">
        <v>1224</v>
      </c>
    </row>
    <row r="48" spans="1:10" ht="11.25">
      <c r="A48" s="9" t="s">
        <v>92</v>
      </c>
      <c r="B48" s="12" t="s">
        <v>36</v>
      </c>
      <c r="C48" s="12" t="str">
        <f>CONCATENATE(F1*10," Prestige, TaxCD -10m")</f>
        <v>1200 Prestige, TaxCD -10m</v>
      </c>
      <c r="G48" s="68" t="s">
        <v>258</v>
      </c>
      <c r="H48" s="89" t="s">
        <v>1356</v>
      </c>
      <c r="I48" s="89" t="str">
        <f>CONCATENATE($F$1*1," Prestige")</f>
        <v>120 Prestige</v>
      </c>
      <c r="J48" s="74" t="s">
        <v>907</v>
      </c>
    </row>
    <row r="49" spans="1:10" ht="11.25">
      <c r="A49" s="9" t="s">
        <v>93</v>
      </c>
      <c r="B49" s="12" t="s">
        <v>41</v>
      </c>
      <c r="C49" s="12" t="str">
        <f>CONCATENATE(F1*15," Silver")</f>
        <v>1800 Silver</v>
      </c>
      <c r="G49" s="68" t="s">
        <v>237</v>
      </c>
      <c r="H49" s="89" t="s">
        <v>1358</v>
      </c>
      <c r="I49" s="89" t="str">
        <f>CONCATENATE($F$1*10," Prestige, TaxCD -10m")</f>
        <v>1200 Prestige, TaxCD -10m</v>
      </c>
      <c r="J49" s="74" t="s">
        <v>953</v>
      </c>
    </row>
    <row r="50" spans="1:10" ht="11.25">
      <c r="A50" s="9" t="s">
        <v>94</v>
      </c>
      <c r="B50" s="12" t="s">
        <v>41</v>
      </c>
      <c r="C50" s="12" t="str">
        <f>CONCATENATE(F1*35," Silver")</f>
        <v>4200 Silver</v>
      </c>
      <c r="G50" s="68" t="s">
        <v>230</v>
      </c>
      <c r="H50" s="89" t="str">
        <f>CONCATENATE($F$1*30," Drachmes")</f>
        <v>3600 Drachmes</v>
      </c>
      <c r="I50" s="89" t="s">
        <v>1358</v>
      </c>
      <c r="J50" s="74" t="s">
        <v>472</v>
      </c>
    </row>
    <row r="51" spans="1:10" ht="11.25">
      <c r="A51" s="9" t="s">
        <v>95</v>
      </c>
      <c r="B51" s="12" t="str">
        <f>CONCATENATE(F1*4," Prestige")</f>
        <v>480 Prestige</v>
      </c>
      <c r="C51" s="12" t="s">
        <v>41</v>
      </c>
      <c r="G51" s="68" t="s">
        <v>231</v>
      </c>
      <c r="H51" s="89" t="s">
        <v>1358</v>
      </c>
      <c r="I51" s="89" t="str">
        <f>CONCATENATE($F$1*10," Drachmes")</f>
        <v>1200 Drachmes</v>
      </c>
      <c r="J51" s="74" t="s">
        <v>467</v>
      </c>
    </row>
    <row r="52" spans="1:10" ht="12" thickBot="1">
      <c r="A52" s="8" t="s">
        <v>96</v>
      </c>
      <c r="B52" s="11" t="s">
        <v>36</v>
      </c>
      <c r="C52" s="11" t="str">
        <f>CONCATENATE(F1*25," Silver, Loyalty +5")</f>
        <v>3000 Silver, Loyalty +5</v>
      </c>
      <c r="G52" s="50" t="s">
        <v>261</v>
      </c>
      <c r="H52" s="88" t="s">
        <v>1357</v>
      </c>
      <c r="I52" s="88" t="str">
        <f>CONCATENATE($F$1*3," Prestige")</f>
        <v>360 Prestige</v>
      </c>
      <c r="J52" s="74" t="s">
        <v>946</v>
      </c>
    </row>
    <row r="53" spans="1:3" ht="12" thickBot="1">
      <c r="A53" s="101" t="s">
        <v>1236</v>
      </c>
      <c r="B53" s="102" t="s">
        <v>36</v>
      </c>
      <c r="C53" s="102" t="s">
        <v>37</v>
      </c>
    </row>
  </sheetData>
  <sheetProtection/>
  <autoFilter ref="A1:C5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3" sqref="L3"/>
    </sheetView>
  </sheetViews>
  <sheetFormatPr defaultColWidth="11.421875" defaultRowHeight="15"/>
  <cols>
    <col min="1" max="1" width="8.28125" style="2" bestFit="1" customWidth="1"/>
    <col min="2" max="2" width="12.8515625" style="2" bestFit="1" customWidth="1"/>
    <col min="3" max="3" width="25.28125" style="1" bestFit="1" customWidth="1"/>
    <col min="4" max="4" width="30.57421875" style="2" bestFit="1" customWidth="1"/>
    <col min="5" max="5" width="11.421875" style="1" customWidth="1"/>
    <col min="6" max="6" width="27.8515625" style="1" bestFit="1" customWidth="1"/>
    <col min="7" max="7" width="12.00390625" style="1" bestFit="1" customWidth="1"/>
    <col min="8" max="8" width="7.57421875" style="1" bestFit="1" customWidth="1"/>
    <col min="9" max="9" width="12.00390625" style="1" bestFit="1" customWidth="1"/>
    <col min="10" max="10" width="7.57421875" style="1" bestFit="1" customWidth="1"/>
    <col min="11" max="11" width="12.00390625" style="1" bestFit="1" customWidth="1"/>
    <col min="12" max="12" width="7.57421875" style="1" bestFit="1" customWidth="1"/>
    <col min="13" max="16384" width="11.421875" style="1" customWidth="1"/>
  </cols>
  <sheetData>
    <row r="1" spans="1:12" ht="11.25">
      <c r="A1" s="6" t="s">
        <v>103</v>
      </c>
      <c r="B1" s="6" t="s">
        <v>350</v>
      </c>
      <c r="C1" s="6" t="s">
        <v>112</v>
      </c>
      <c r="D1" s="6" t="s">
        <v>109</v>
      </c>
      <c r="F1" s="10" t="s">
        <v>29</v>
      </c>
      <c r="G1" s="6" t="s">
        <v>347</v>
      </c>
      <c r="H1" s="16" t="s">
        <v>361</v>
      </c>
      <c r="I1" s="6" t="s">
        <v>462</v>
      </c>
      <c r="J1" s="16" t="s">
        <v>361</v>
      </c>
      <c r="K1" s="69" t="s">
        <v>426</v>
      </c>
      <c r="L1" s="6" t="s">
        <v>361</v>
      </c>
    </row>
    <row r="2" spans="1:12" ht="11.25">
      <c r="A2" s="2">
        <v>1</v>
      </c>
      <c r="B2" s="2" t="s">
        <v>104</v>
      </c>
      <c r="D2" s="2" t="s">
        <v>333</v>
      </c>
      <c r="F2" s="9" t="s">
        <v>346</v>
      </c>
      <c r="G2" s="1" t="s">
        <v>358</v>
      </c>
      <c r="H2" s="9" t="s">
        <v>365</v>
      </c>
      <c r="I2" s="1" t="s">
        <v>354</v>
      </c>
      <c r="J2" s="9" t="s">
        <v>458</v>
      </c>
      <c r="K2" s="1" t="s">
        <v>354</v>
      </c>
      <c r="L2" s="1" t="s">
        <v>452</v>
      </c>
    </row>
    <row r="3" spans="1:12" ht="11.25">
      <c r="A3" s="2">
        <v>2</v>
      </c>
      <c r="B3" s="2" t="s">
        <v>105</v>
      </c>
      <c r="F3" s="9" t="s">
        <v>346</v>
      </c>
      <c r="G3" s="1" t="s">
        <v>345</v>
      </c>
      <c r="H3" s="9" t="s">
        <v>366</v>
      </c>
      <c r="I3" s="1" t="s">
        <v>353</v>
      </c>
      <c r="J3" s="9" t="s">
        <v>454</v>
      </c>
      <c r="K3" s="1" t="s">
        <v>353</v>
      </c>
      <c r="L3" s="1" t="s">
        <v>453</v>
      </c>
    </row>
    <row r="4" spans="1:12" ht="11.25">
      <c r="A4" s="2">
        <v>4</v>
      </c>
      <c r="B4" s="2" t="s">
        <v>106</v>
      </c>
      <c r="F4" s="9" t="s">
        <v>348</v>
      </c>
      <c r="G4" s="1" t="s">
        <v>349</v>
      </c>
      <c r="H4" s="9" t="s">
        <v>364</v>
      </c>
      <c r="I4" s="1" t="s">
        <v>352</v>
      </c>
      <c r="J4" s="9" t="s">
        <v>455</v>
      </c>
      <c r="K4" s="1" t="s">
        <v>427</v>
      </c>
      <c r="L4" s="1" t="s">
        <v>1650</v>
      </c>
    </row>
    <row r="5" spans="1:12" ht="11.25">
      <c r="A5" s="2">
        <v>5</v>
      </c>
      <c r="D5" s="2" t="s">
        <v>337</v>
      </c>
      <c r="F5" s="9" t="s">
        <v>346</v>
      </c>
      <c r="G5" s="1" t="s">
        <v>359</v>
      </c>
      <c r="H5" s="9" t="s">
        <v>363</v>
      </c>
      <c r="I5" s="1" t="s">
        <v>355</v>
      </c>
      <c r="J5" s="9" t="s">
        <v>357</v>
      </c>
      <c r="K5" s="1" t="s">
        <v>355</v>
      </c>
      <c r="L5" s="1" t="s">
        <v>360</v>
      </c>
    </row>
    <row r="6" spans="1:12" ht="11.25">
      <c r="A6" s="2">
        <v>8</v>
      </c>
      <c r="B6" s="2" t="s">
        <v>107</v>
      </c>
      <c r="F6" s="9" t="s">
        <v>356</v>
      </c>
      <c r="G6" s="1" t="s">
        <v>360</v>
      </c>
      <c r="H6" s="9" t="s">
        <v>351</v>
      </c>
      <c r="I6" s="1" t="s">
        <v>357</v>
      </c>
      <c r="J6" s="9" t="s">
        <v>456</v>
      </c>
      <c r="K6" s="1" t="s">
        <v>357</v>
      </c>
      <c r="L6" s="1" t="s">
        <v>455</v>
      </c>
    </row>
    <row r="7" spans="1:12" ht="11.25">
      <c r="A7" s="2">
        <v>10</v>
      </c>
      <c r="B7" s="2" t="s">
        <v>108</v>
      </c>
      <c r="C7" s="1" t="s">
        <v>113</v>
      </c>
      <c r="D7" s="2" t="s">
        <v>335</v>
      </c>
      <c r="F7" s="9" t="s">
        <v>404</v>
      </c>
      <c r="G7" s="1" t="s">
        <v>378</v>
      </c>
      <c r="H7" s="9" t="s">
        <v>379</v>
      </c>
      <c r="I7" s="1" t="s">
        <v>378</v>
      </c>
      <c r="J7" s="9" t="s">
        <v>460</v>
      </c>
      <c r="K7" s="1" t="s">
        <v>378</v>
      </c>
      <c r="L7" s="1" t="s">
        <v>457</v>
      </c>
    </row>
    <row r="8" spans="1:12" ht="11.25">
      <c r="A8" s="2">
        <v>11</v>
      </c>
      <c r="B8" s="2" t="s">
        <v>109</v>
      </c>
      <c r="F8" s="9" t="s">
        <v>461</v>
      </c>
      <c r="G8" s="1" t="s">
        <v>344</v>
      </c>
      <c r="H8" s="9" t="s">
        <v>362</v>
      </c>
      <c r="I8" s="1" t="s">
        <v>351</v>
      </c>
      <c r="J8" s="9" t="s">
        <v>459</v>
      </c>
      <c r="K8" s="1" t="s">
        <v>351</v>
      </c>
      <c r="L8" s="1" t="s">
        <v>456</v>
      </c>
    </row>
    <row r="9" spans="1:2" ht="11.25">
      <c r="A9" s="2">
        <v>12</v>
      </c>
      <c r="B9" s="2" t="s">
        <v>110</v>
      </c>
    </row>
    <row r="10" spans="1:2" ht="11.25">
      <c r="A10" s="2">
        <v>14</v>
      </c>
      <c r="B10" s="2" t="s">
        <v>111</v>
      </c>
    </row>
    <row r="11" spans="1:9" ht="11.25">
      <c r="A11" s="2">
        <v>15</v>
      </c>
      <c r="B11" s="2" t="s">
        <v>114</v>
      </c>
      <c r="D11" s="2" t="s">
        <v>334</v>
      </c>
      <c r="F11" s="1" t="s">
        <v>1182</v>
      </c>
      <c r="G11" s="2" t="s">
        <v>380</v>
      </c>
      <c r="I11" s="1" t="s">
        <v>1190</v>
      </c>
    </row>
    <row r="12" spans="1:9" ht="11.25">
      <c r="A12" s="2">
        <v>16</v>
      </c>
      <c r="C12" s="1" t="s">
        <v>115</v>
      </c>
      <c r="F12" s="70" t="s">
        <v>1046</v>
      </c>
      <c r="G12" s="7" t="s">
        <v>1045</v>
      </c>
      <c r="I12" s="1" t="s">
        <v>1189</v>
      </c>
    </row>
    <row r="13" spans="1:6" ht="11.25">
      <c r="A13" s="2">
        <v>18</v>
      </c>
      <c r="B13" s="2" t="s">
        <v>116</v>
      </c>
      <c r="F13" s="1" t="s">
        <v>1181</v>
      </c>
    </row>
    <row r="14" spans="1:6" ht="11.25">
      <c r="A14" s="2">
        <v>20</v>
      </c>
      <c r="D14" s="2" t="s">
        <v>480</v>
      </c>
      <c r="F14" s="1" t="s">
        <v>1183</v>
      </c>
    </row>
    <row r="15" spans="1:2" ht="11.25">
      <c r="A15" s="2">
        <v>24</v>
      </c>
      <c r="B15" s="2" t="s">
        <v>117</v>
      </c>
    </row>
    <row r="16" spans="1:2" ht="11.25">
      <c r="A16" s="2">
        <v>25</v>
      </c>
      <c r="B16" s="2" t="s">
        <v>118</v>
      </c>
    </row>
    <row r="17" spans="1:7" ht="11.25">
      <c r="A17" s="2">
        <v>30</v>
      </c>
      <c r="C17" s="1" t="s">
        <v>129</v>
      </c>
      <c r="D17" s="2" t="s">
        <v>336</v>
      </c>
      <c r="F17" s="1" t="s">
        <v>391</v>
      </c>
      <c r="G17" s="1" t="s">
        <v>394</v>
      </c>
    </row>
    <row r="18" spans="1:7" ht="11.25">
      <c r="A18" s="2">
        <v>31</v>
      </c>
      <c r="B18" s="2" t="s">
        <v>119</v>
      </c>
      <c r="F18" s="1" t="s">
        <v>400</v>
      </c>
      <c r="G18" s="1" t="s">
        <v>399</v>
      </c>
    </row>
    <row r="19" spans="1:7" ht="11.25">
      <c r="A19" s="2">
        <v>35</v>
      </c>
      <c r="B19" s="2" t="s">
        <v>120</v>
      </c>
      <c r="D19" s="2" t="s">
        <v>338</v>
      </c>
      <c r="F19" s="1" t="s">
        <v>392</v>
      </c>
      <c r="G19" s="1" t="s">
        <v>393</v>
      </c>
    </row>
    <row r="20" spans="1:7" ht="11.25">
      <c r="A20" s="2">
        <v>36</v>
      </c>
      <c r="C20" s="1" t="s">
        <v>121</v>
      </c>
      <c r="F20" s="1" t="s">
        <v>423</v>
      </c>
      <c r="G20" s="1" t="s">
        <v>424</v>
      </c>
    </row>
    <row r="21" spans="1:8" ht="11.25">
      <c r="A21" s="2">
        <v>39</v>
      </c>
      <c r="B21" s="2" t="s">
        <v>122</v>
      </c>
      <c r="F21" s="5"/>
      <c r="G21" s="5"/>
      <c r="H21" s="5"/>
    </row>
    <row r="22" spans="1:8" ht="11.25">
      <c r="A22" s="2">
        <v>40</v>
      </c>
      <c r="C22" s="1" t="s">
        <v>295</v>
      </c>
      <c r="D22" s="2" t="s">
        <v>339</v>
      </c>
      <c r="F22" s="30" t="s">
        <v>1251</v>
      </c>
      <c r="G22" s="1" t="s">
        <v>437</v>
      </c>
      <c r="H22" s="1" t="s">
        <v>444</v>
      </c>
    </row>
    <row r="23" spans="1:8" ht="11.25">
      <c r="A23" s="2">
        <v>41</v>
      </c>
      <c r="B23" s="2" t="s">
        <v>123</v>
      </c>
      <c r="F23" s="31" t="s">
        <v>1245</v>
      </c>
      <c r="G23" s="1" t="s">
        <v>437</v>
      </c>
      <c r="H23" s="1" t="s">
        <v>444</v>
      </c>
    </row>
    <row r="24" spans="1:8" ht="11.25">
      <c r="A24" s="2">
        <v>45</v>
      </c>
      <c r="B24" s="2" t="s">
        <v>124</v>
      </c>
      <c r="D24" s="2" t="s">
        <v>1131</v>
      </c>
      <c r="F24" s="82" t="s">
        <v>1253</v>
      </c>
      <c r="G24" s="5" t="s">
        <v>437</v>
      </c>
      <c r="H24" s="5" t="s">
        <v>444</v>
      </c>
    </row>
    <row r="25" spans="1:8" ht="11.25">
      <c r="A25" s="2">
        <v>48</v>
      </c>
      <c r="B25" s="2" t="s">
        <v>125</v>
      </c>
      <c r="F25" s="29" t="s">
        <v>1256</v>
      </c>
      <c r="G25" s="1" t="s">
        <v>435</v>
      </c>
      <c r="H25" s="1" t="s">
        <v>442</v>
      </c>
    </row>
    <row r="26" spans="1:8" ht="11.25">
      <c r="A26" s="2">
        <v>50</v>
      </c>
      <c r="C26" s="1" t="s">
        <v>175</v>
      </c>
      <c r="D26" s="2" t="s">
        <v>1130</v>
      </c>
      <c r="F26" s="23" t="s">
        <v>1247</v>
      </c>
      <c r="G26" s="70" t="s">
        <v>435</v>
      </c>
      <c r="H26" s="70" t="s">
        <v>442</v>
      </c>
    </row>
    <row r="27" spans="1:8" ht="11.25">
      <c r="A27" s="2">
        <v>51</v>
      </c>
      <c r="C27" s="1" t="s">
        <v>126</v>
      </c>
      <c r="F27" s="22" t="s">
        <v>1250</v>
      </c>
      <c r="G27" s="5" t="s">
        <v>435</v>
      </c>
      <c r="H27" s="5" t="s">
        <v>442</v>
      </c>
    </row>
    <row r="28" spans="1:8" ht="11.25">
      <c r="A28" s="2">
        <v>60</v>
      </c>
      <c r="C28" s="1" t="s">
        <v>174</v>
      </c>
      <c r="D28" s="2" t="s">
        <v>340</v>
      </c>
      <c r="F28" s="31" t="s">
        <v>1244</v>
      </c>
      <c r="G28" s="1" t="s">
        <v>436</v>
      </c>
      <c r="H28" s="1" t="s">
        <v>443</v>
      </c>
    </row>
    <row r="29" spans="1:8" ht="11.25">
      <c r="A29" s="2">
        <v>65</v>
      </c>
      <c r="D29" s="2" t="s">
        <v>341</v>
      </c>
      <c r="F29" s="30" t="s">
        <v>1249</v>
      </c>
      <c r="G29" s="1" t="s">
        <v>436</v>
      </c>
      <c r="H29" s="1" t="s">
        <v>443</v>
      </c>
    </row>
    <row r="30" spans="1:8" ht="11.25">
      <c r="A30" s="2">
        <v>70</v>
      </c>
      <c r="D30" s="2" t="s">
        <v>342</v>
      </c>
      <c r="F30" s="82" t="s">
        <v>1254</v>
      </c>
      <c r="G30" s="5" t="s">
        <v>436</v>
      </c>
      <c r="H30" s="5" t="s">
        <v>443</v>
      </c>
    </row>
    <row r="31" spans="1:8" ht="11.25">
      <c r="A31" s="2">
        <v>80</v>
      </c>
      <c r="D31" s="2" t="s">
        <v>343</v>
      </c>
      <c r="F31" s="30" t="s">
        <v>1252</v>
      </c>
      <c r="G31" s="1" t="s">
        <v>438</v>
      </c>
      <c r="H31" s="1" t="s">
        <v>445</v>
      </c>
    </row>
    <row r="32" spans="1:8" ht="11.25">
      <c r="A32" s="2">
        <v>82</v>
      </c>
      <c r="B32" s="2" t="s">
        <v>127</v>
      </c>
      <c r="F32" s="29" t="s">
        <v>1257</v>
      </c>
      <c r="G32" s="1" t="s">
        <v>438</v>
      </c>
      <c r="H32" s="1" t="s">
        <v>445</v>
      </c>
    </row>
    <row r="33" spans="1:8" ht="11.25">
      <c r="A33" s="2">
        <v>85</v>
      </c>
      <c r="B33" s="2" t="s">
        <v>128</v>
      </c>
      <c r="F33" s="25" t="s">
        <v>1246</v>
      </c>
      <c r="G33" s="5" t="s">
        <v>438</v>
      </c>
      <c r="H33" s="5" t="s">
        <v>445</v>
      </c>
    </row>
    <row r="34" spans="1:8" ht="11.25">
      <c r="A34" s="2">
        <v>101</v>
      </c>
      <c r="B34" s="105" t="s">
        <v>1521</v>
      </c>
      <c r="F34" s="29" t="s">
        <v>1255</v>
      </c>
      <c r="G34" s="1" t="s">
        <v>434</v>
      </c>
      <c r="H34" s="1" t="s">
        <v>439</v>
      </c>
    </row>
    <row r="35" spans="1:8" ht="11.25">
      <c r="A35" s="2">
        <v>110</v>
      </c>
      <c r="B35" s="2" t="s">
        <v>1222</v>
      </c>
      <c r="F35" s="31" t="s">
        <v>1243</v>
      </c>
      <c r="G35" s="1" t="s">
        <v>434</v>
      </c>
      <c r="H35" s="1" t="s">
        <v>440</v>
      </c>
    </row>
    <row r="36" spans="6:8" ht="11.25">
      <c r="F36" s="22" t="s">
        <v>1248</v>
      </c>
      <c r="G36" s="5" t="s">
        <v>434</v>
      </c>
      <c r="H36" s="5" t="s">
        <v>441</v>
      </c>
    </row>
    <row r="38" spans="7:8" ht="11.25">
      <c r="G38" s="2">
        <v>3</v>
      </c>
      <c r="H38" s="1" t="s">
        <v>1240</v>
      </c>
    </row>
    <row r="39" spans="7:8" ht="11.25">
      <c r="G39" s="2">
        <v>5</v>
      </c>
      <c r="H39" s="1" t="s">
        <v>1241</v>
      </c>
    </row>
    <row r="40" spans="7:8" ht="11.25">
      <c r="G40" s="2">
        <v>10</v>
      </c>
      <c r="H40" s="1" t="s">
        <v>1242</v>
      </c>
    </row>
    <row r="42" ht="11.25">
      <c r="F42" s="1" t="s">
        <v>1346</v>
      </c>
    </row>
    <row r="43" ht="11.25">
      <c r="F43" s="1" t="s">
        <v>1347</v>
      </c>
    </row>
    <row r="44" ht="11.25">
      <c r="F44" s="1" t="s">
        <v>1348</v>
      </c>
    </row>
    <row r="45" ht="11.25">
      <c r="F45" s="1" t="s">
        <v>1628</v>
      </c>
    </row>
    <row r="46" ht="11.25">
      <c r="F46" s="1" t="s">
        <v>1629</v>
      </c>
    </row>
    <row r="47" ht="11.25">
      <c r="F47" s="1" t="s">
        <v>1630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29" sqref="G129"/>
    </sheetView>
  </sheetViews>
  <sheetFormatPr defaultColWidth="11.421875" defaultRowHeight="15"/>
  <cols>
    <col min="1" max="1" width="3.57421875" style="2" bestFit="1" customWidth="1"/>
    <col min="2" max="2" width="11.7109375" style="2" bestFit="1" customWidth="1"/>
    <col min="3" max="3" width="8.7109375" style="15" bestFit="1" customWidth="1"/>
    <col min="4" max="4" width="9.7109375" style="2" bestFit="1" customWidth="1"/>
    <col min="5" max="5" width="11.140625" style="15" bestFit="1" customWidth="1"/>
    <col min="6" max="6" width="15.28125" style="2" bestFit="1" customWidth="1"/>
    <col min="7" max="7" width="14.57421875" style="15" bestFit="1" customWidth="1"/>
    <col min="8" max="8" width="17.8515625" style="2" bestFit="1" customWidth="1"/>
    <col min="9" max="9" width="17.140625" style="15" bestFit="1" customWidth="1"/>
    <col min="10" max="10" width="5.421875" style="2" bestFit="1" customWidth="1"/>
    <col min="11" max="11" width="7.28125" style="2" bestFit="1" customWidth="1"/>
    <col min="12" max="12" width="5.28125" style="2" bestFit="1" customWidth="1"/>
    <col min="13" max="13" width="7.421875" style="2" bestFit="1" customWidth="1"/>
    <col min="14" max="14" width="9.28125" style="2" bestFit="1" customWidth="1"/>
    <col min="15" max="15" width="7.421875" style="2" bestFit="1" customWidth="1"/>
    <col min="16" max="16" width="9.7109375" style="2" bestFit="1" customWidth="1"/>
    <col min="17" max="17" width="7.421875" style="15" bestFit="1" customWidth="1"/>
    <col min="18" max="18" width="16.140625" style="2" bestFit="1" customWidth="1"/>
    <col min="19" max="19" width="12.7109375" style="2" bestFit="1" customWidth="1"/>
    <col min="20" max="20" width="14.28125" style="2" bestFit="1" customWidth="1"/>
    <col min="21" max="21" width="9.140625" style="2" bestFit="1" customWidth="1"/>
    <col min="22" max="22" width="11.140625" style="2" bestFit="1" customWidth="1"/>
    <col min="23" max="23" width="6.140625" style="2" bestFit="1" customWidth="1"/>
    <col min="24" max="16384" width="11.421875" style="1" customWidth="1"/>
  </cols>
  <sheetData>
    <row r="1" spans="1:23" ht="11.25">
      <c r="A1" s="6" t="s">
        <v>15</v>
      </c>
      <c r="B1" s="6" t="s">
        <v>1274</v>
      </c>
      <c r="C1" s="16" t="s">
        <v>1275</v>
      </c>
      <c r="D1" s="6" t="s">
        <v>1276</v>
      </c>
      <c r="E1" s="16" t="s">
        <v>1277</v>
      </c>
      <c r="F1" s="6" t="s">
        <v>1278</v>
      </c>
      <c r="G1" s="16" t="s">
        <v>1279</v>
      </c>
      <c r="H1" s="6" t="s">
        <v>1280</v>
      </c>
      <c r="I1" s="16" t="s">
        <v>1281</v>
      </c>
      <c r="J1" s="6" t="s">
        <v>1282</v>
      </c>
      <c r="K1" s="6" t="s">
        <v>1283</v>
      </c>
      <c r="L1" s="6" t="s">
        <v>1284</v>
      </c>
      <c r="M1" s="6" t="s">
        <v>1285</v>
      </c>
      <c r="N1" s="2" t="s">
        <v>1286</v>
      </c>
      <c r="O1" s="2" t="s">
        <v>1287</v>
      </c>
      <c r="P1" s="2" t="s">
        <v>1288</v>
      </c>
      <c r="Q1" s="15" t="s">
        <v>1289</v>
      </c>
      <c r="R1" s="2" t="s">
        <v>1290</v>
      </c>
      <c r="S1" s="2" t="s">
        <v>1291</v>
      </c>
      <c r="T1" s="2" t="s">
        <v>1296</v>
      </c>
      <c r="U1" s="2" t="s">
        <v>1340</v>
      </c>
      <c r="V1" s="2" t="s">
        <v>1341</v>
      </c>
      <c r="W1" s="106" t="s">
        <v>1292</v>
      </c>
    </row>
    <row r="2" spans="1:23" ht="11.25">
      <c r="A2" s="2">
        <v>1</v>
      </c>
      <c r="B2" s="2">
        <v>5</v>
      </c>
      <c r="C2" s="15">
        <v>20</v>
      </c>
      <c r="D2" s="2">
        <v>6</v>
      </c>
      <c r="E2" s="15">
        <v>4</v>
      </c>
      <c r="F2" s="2">
        <v>6</v>
      </c>
      <c r="G2" s="15">
        <v>4</v>
      </c>
      <c r="H2" s="2">
        <v>7</v>
      </c>
      <c r="I2" s="15">
        <v>5</v>
      </c>
      <c r="J2" s="84"/>
      <c r="K2" s="2">
        <v>65</v>
      </c>
      <c r="L2" s="2">
        <v>65</v>
      </c>
      <c r="M2" s="2">
        <v>65</v>
      </c>
      <c r="N2" s="2">
        <v>65</v>
      </c>
      <c r="O2" s="2">
        <v>65</v>
      </c>
      <c r="P2" s="2">
        <v>65</v>
      </c>
      <c r="Q2" s="15">
        <v>65</v>
      </c>
      <c r="R2" s="2">
        <v>20</v>
      </c>
      <c r="S2" s="2">
        <v>14</v>
      </c>
      <c r="T2" s="2">
        <v>16</v>
      </c>
      <c r="U2" s="2">
        <v>10</v>
      </c>
      <c r="V2" s="2">
        <v>10</v>
      </c>
      <c r="W2" s="106">
        <v>20</v>
      </c>
    </row>
    <row r="3" spans="1:23" ht="11.25">
      <c r="A3" s="2">
        <v>2</v>
      </c>
      <c r="B3" s="2">
        <v>10</v>
      </c>
      <c r="C3" s="15">
        <v>40</v>
      </c>
      <c r="D3" s="2">
        <v>12</v>
      </c>
      <c r="E3" s="15">
        <v>8</v>
      </c>
      <c r="F3" s="2">
        <v>12</v>
      </c>
      <c r="G3" s="15">
        <v>8</v>
      </c>
      <c r="H3" s="2">
        <v>14</v>
      </c>
      <c r="I3" s="15">
        <v>10</v>
      </c>
      <c r="J3" s="2">
        <v>130</v>
      </c>
      <c r="K3" s="2">
        <v>130</v>
      </c>
      <c r="L3" s="2">
        <v>130</v>
      </c>
      <c r="M3" s="2">
        <v>130</v>
      </c>
      <c r="N3" s="2">
        <v>130</v>
      </c>
      <c r="O3" s="2">
        <v>130</v>
      </c>
      <c r="P3" s="2">
        <v>130</v>
      </c>
      <c r="Q3" s="15">
        <v>130</v>
      </c>
      <c r="R3" s="2">
        <v>40</v>
      </c>
      <c r="S3" s="2">
        <v>28</v>
      </c>
      <c r="T3" s="2">
        <v>32</v>
      </c>
      <c r="U3" s="2">
        <v>20</v>
      </c>
      <c r="V3" s="2">
        <v>20</v>
      </c>
      <c r="W3" s="106">
        <v>40</v>
      </c>
    </row>
    <row r="4" spans="1:23" ht="11.25">
      <c r="A4" s="2">
        <v>3</v>
      </c>
      <c r="B4" s="2">
        <v>15</v>
      </c>
      <c r="C4" s="15">
        <v>60</v>
      </c>
      <c r="D4" s="2">
        <v>18</v>
      </c>
      <c r="E4" s="15">
        <v>12</v>
      </c>
      <c r="F4" s="2">
        <v>18</v>
      </c>
      <c r="G4" s="15">
        <v>12</v>
      </c>
      <c r="H4" s="2">
        <v>21</v>
      </c>
      <c r="I4" s="15">
        <v>15</v>
      </c>
      <c r="J4" s="2">
        <v>195</v>
      </c>
      <c r="K4" s="2">
        <v>195</v>
      </c>
      <c r="L4" s="2">
        <v>195</v>
      </c>
      <c r="M4" s="2">
        <v>195</v>
      </c>
      <c r="N4" s="2">
        <v>195</v>
      </c>
      <c r="O4" s="2">
        <v>195</v>
      </c>
      <c r="P4" s="2">
        <v>195</v>
      </c>
      <c r="Q4" s="15">
        <v>195</v>
      </c>
      <c r="R4" s="2">
        <v>60</v>
      </c>
      <c r="S4" s="2">
        <v>42</v>
      </c>
      <c r="T4" s="2">
        <v>48</v>
      </c>
      <c r="U4" s="2">
        <v>30</v>
      </c>
      <c r="V4" s="2">
        <v>30</v>
      </c>
      <c r="W4" s="106">
        <v>60</v>
      </c>
    </row>
    <row r="5" spans="1:23" ht="11.25">
      <c r="A5" s="2">
        <v>4</v>
      </c>
      <c r="B5" s="2">
        <v>20</v>
      </c>
      <c r="C5" s="15">
        <v>80</v>
      </c>
      <c r="D5" s="2">
        <v>24</v>
      </c>
      <c r="E5" s="15">
        <v>16</v>
      </c>
      <c r="F5" s="2">
        <v>24</v>
      </c>
      <c r="G5" s="15">
        <v>16</v>
      </c>
      <c r="H5" s="2">
        <v>28</v>
      </c>
      <c r="I5" s="15">
        <v>20</v>
      </c>
      <c r="J5" s="2">
        <v>260</v>
      </c>
      <c r="K5" s="2">
        <v>260</v>
      </c>
      <c r="L5" s="2">
        <v>260</v>
      </c>
      <c r="M5" s="2">
        <v>260</v>
      </c>
      <c r="N5" s="2">
        <v>260</v>
      </c>
      <c r="O5" s="2">
        <v>260</v>
      </c>
      <c r="P5" s="2">
        <v>260</v>
      </c>
      <c r="Q5" s="15">
        <v>260</v>
      </c>
      <c r="R5" s="87">
        <v>80</v>
      </c>
      <c r="S5" s="2">
        <v>56</v>
      </c>
      <c r="T5" s="2">
        <v>64</v>
      </c>
      <c r="U5" s="2">
        <v>40</v>
      </c>
      <c r="V5" s="2">
        <v>40</v>
      </c>
      <c r="W5" s="106">
        <v>80</v>
      </c>
    </row>
    <row r="6" spans="1:23" ht="11.25">
      <c r="A6" s="2">
        <v>5</v>
      </c>
      <c r="B6" s="2">
        <v>25</v>
      </c>
      <c r="C6" s="15">
        <v>100</v>
      </c>
      <c r="D6" s="2">
        <v>30</v>
      </c>
      <c r="E6" s="15">
        <v>20</v>
      </c>
      <c r="F6" s="2">
        <v>30</v>
      </c>
      <c r="G6" s="15">
        <v>20</v>
      </c>
      <c r="H6" s="2">
        <v>35</v>
      </c>
      <c r="I6" s="15">
        <v>25</v>
      </c>
      <c r="J6" s="2">
        <v>494</v>
      </c>
      <c r="K6" s="2">
        <v>494</v>
      </c>
      <c r="L6" s="2">
        <v>494</v>
      </c>
      <c r="M6" s="2">
        <v>494</v>
      </c>
      <c r="N6" s="2">
        <v>494</v>
      </c>
      <c r="O6" s="2">
        <v>494</v>
      </c>
      <c r="P6" s="2">
        <v>494</v>
      </c>
      <c r="Q6" s="15">
        <v>494</v>
      </c>
      <c r="R6" s="87">
        <v>100</v>
      </c>
      <c r="S6" s="2">
        <v>70</v>
      </c>
      <c r="T6" s="2">
        <v>80</v>
      </c>
      <c r="U6" s="2">
        <v>50</v>
      </c>
      <c r="V6" s="2">
        <v>50</v>
      </c>
      <c r="W6" s="106">
        <v>100</v>
      </c>
    </row>
    <row r="7" spans="1:23" ht="11.25">
      <c r="A7" s="2">
        <v>6</v>
      </c>
      <c r="B7" s="2">
        <v>30</v>
      </c>
      <c r="C7" s="15">
        <v>120</v>
      </c>
      <c r="D7" s="2">
        <v>36</v>
      </c>
      <c r="E7" s="15">
        <v>24</v>
      </c>
      <c r="F7" s="2">
        <v>36</v>
      </c>
      <c r="G7" s="15">
        <v>24</v>
      </c>
      <c r="H7" s="2">
        <v>42</v>
      </c>
      <c r="I7" s="15">
        <v>30</v>
      </c>
      <c r="J7" s="2">
        <v>598</v>
      </c>
      <c r="K7" s="2">
        <v>598</v>
      </c>
      <c r="L7" s="2">
        <v>598</v>
      </c>
      <c r="M7" s="2">
        <v>598</v>
      </c>
      <c r="N7" s="2">
        <v>598</v>
      </c>
      <c r="O7" s="2">
        <v>598</v>
      </c>
      <c r="P7" s="2">
        <v>598</v>
      </c>
      <c r="Q7" s="15">
        <v>598</v>
      </c>
      <c r="R7" s="87">
        <v>120</v>
      </c>
      <c r="S7" s="2">
        <v>84</v>
      </c>
      <c r="T7" s="2">
        <v>96</v>
      </c>
      <c r="U7" s="2">
        <v>60</v>
      </c>
      <c r="V7" s="2">
        <v>60</v>
      </c>
      <c r="W7" s="106">
        <v>120</v>
      </c>
    </row>
    <row r="8" spans="1:23" ht="11.25">
      <c r="A8" s="2">
        <v>7</v>
      </c>
      <c r="B8" s="2">
        <v>35</v>
      </c>
      <c r="C8" s="15">
        <v>140</v>
      </c>
      <c r="D8" s="2">
        <v>42</v>
      </c>
      <c r="E8" s="15">
        <v>28</v>
      </c>
      <c r="F8" s="2">
        <v>42</v>
      </c>
      <c r="G8" s="15">
        <v>28</v>
      </c>
      <c r="H8" s="2">
        <v>49</v>
      </c>
      <c r="I8" s="15">
        <v>35</v>
      </c>
      <c r="J8" s="2">
        <v>845</v>
      </c>
      <c r="K8" s="2">
        <v>845</v>
      </c>
      <c r="L8" s="2">
        <v>845</v>
      </c>
      <c r="M8" s="2">
        <v>845</v>
      </c>
      <c r="N8" s="2">
        <v>845</v>
      </c>
      <c r="O8" s="2">
        <v>845</v>
      </c>
      <c r="P8" s="2">
        <v>845</v>
      </c>
      <c r="Q8" s="15">
        <v>845</v>
      </c>
      <c r="R8" s="87">
        <v>140</v>
      </c>
      <c r="S8" s="2">
        <v>98</v>
      </c>
      <c r="T8" s="2">
        <v>112</v>
      </c>
      <c r="U8" s="2">
        <v>70</v>
      </c>
      <c r="V8" s="2">
        <v>70</v>
      </c>
      <c r="W8" s="106">
        <v>140</v>
      </c>
    </row>
    <row r="9" spans="1:23" ht="11.25">
      <c r="A9" s="2">
        <v>8</v>
      </c>
      <c r="B9" s="2">
        <v>40</v>
      </c>
      <c r="C9" s="15">
        <v>160</v>
      </c>
      <c r="D9" s="2">
        <v>48</v>
      </c>
      <c r="E9" s="15">
        <v>32</v>
      </c>
      <c r="F9" s="2">
        <v>48</v>
      </c>
      <c r="G9" s="15">
        <v>32</v>
      </c>
      <c r="H9" s="2">
        <v>56</v>
      </c>
      <c r="I9" s="15">
        <v>40</v>
      </c>
      <c r="J9" s="2">
        <v>988</v>
      </c>
      <c r="K9" s="2">
        <v>988</v>
      </c>
      <c r="L9" s="2">
        <v>988</v>
      </c>
      <c r="M9" s="2">
        <v>988</v>
      </c>
      <c r="N9" s="2">
        <v>988</v>
      </c>
      <c r="O9" s="2">
        <v>988</v>
      </c>
      <c r="P9" s="2">
        <v>988</v>
      </c>
      <c r="Q9" s="15">
        <v>988</v>
      </c>
      <c r="R9" s="87">
        <v>160</v>
      </c>
      <c r="S9" s="2">
        <v>112</v>
      </c>
      <c r="T9" s="2">
        <v>128</v>
      </c>
      <c r="U9" s="2">
        <v>80</v>
      </c>
      <c r="V9" s="2">
        <v>80</v>
      </c>
      <c r="W9" s="106">
        <v>160</v>
      </c>
    </row>
    <row r="10" spans="1:23" ht="11.25">
      <c r="A10" s="2">
        <v>9</v>
      </c>
      <c r="B10" s="2">
        <v>45</v>
      </c>
      <c r="C10" s="15">
        <v>180</v>
      </c>
      <c r="D10" s="2">
        <v>54</v>
      </c>
      <c r="E10" s="15">
        <v>36</v>
      </c>
      <c r="F10" s="2">
        <v>54</v>
      </c>
      <c r="G10" s="15">
        <v>36</v>
      </c>
      <c r="H10" s="2">
        <v>63</v>
      </c>
      <c r="I10" s="15">
        <v>45</v>
      </c>
      <c r="J10" s="2">
        <v>1742</v>
      </c>
      <c r="K10" s="2">
        <v>1742</v>
      </c>
      <c r="L10" s="2">
        <v>1742</v>
      </c>
      <c r="M10" s="2">
        <v>1742</v>
      </c>
      <c r="N10" s="2">
        <v>1742</v>
      </c>
      <c r="O10" s="2">
        <v>1742</v>
      </c>
      <c r="P10" s="2">
        <v>1742</v>
      </c>
      <c r="Q10" s="15">
        <v>1742</v>
      </c>
      <c r="R10" s="87">
        <v>180</v>
      </c>
      <c r="S10" s="2">
        <v>126</v>
      </c>
      <c r="T10" s="2">
        <v>144</v>
      </c>
      <c r="U10" s="2">
        <v>90</v>
      </c>
      <c r="V10" s="2">
        <v>90</v>
      </c>
      <c r="W10" s="106">
        <v>180</v>
      </c>
    </row>
    <row r="11" spans="1:23" ht="11.25">
      <c r="A11" s="6">
        <v>10</v>
      </c>
      <c r="B11" s="6">
        <v>50</v>
      </c>
      <c r="C11" s="16">
        <v>200</v>
      </c>
      <c r="D11" s="6">
        <v>60</v>
      </c>
      <c r="E11" s="16">
        <v>40</v>
      </c>
      <c r="F11" s="6">
        <v>60</v>
      </c>
      <c r="G11" s="16">
        <v>40</v>
      </c>
      <c r="H11" s="6">
        <v>70</v>
      </c>
      <c r="I11" s="16">
        <v>50</v>
      </c>
      <c r="J11" s="6">
        <v>1937</v>
      </c>
      <c r="K11" s="6">
        <v>1937</v>
      </c>
      <c r="L11" s="107">
        <v>1937</v>
      </c>
      <c r="M11" s="107">
        <v>1937</v>
      </c>
      <c r="N11" s="107">
        <v>1937</v>
      </c>
      <c r="O11" s="107">
        <v>1937</v>
      </c>
      <c r="P11" s="107">
        <v>1937</v>
      </c>
      <c r="Q11" s="16">
        <v>1937</v>
      </c>
      <c r="R11" s="69">
        <v>200</v>
      </c>
      <c r="S11" s="6">
        <v>140</v>
      </c>
      <c r="T11" s="6">
        <v>160</v>
      </c>
      <c r="U11" s="6">
        <v>100</v>
      </c>
      <c r="V11" s="6">
        <v>100</v>
      </c>
      <c r="W11" s="144">
        <v>200</v>
      </c>
    </row>
    <row r="12" spans="1:23" ht="11.25">
      <c r="A12" s="2">
        <v>11</v>
      </c>
      <c r="B12" s="2">
        <v>55</v>
      </c>
      <c r="C12" s="15">
        <v>330</v>
      </c>
      <c r="D12" s="2">
        <v>66</v>
      </c>
      <c r="E12" s="15">
        <v>44</v>
      </c>
      <c r="F12" s="2">
        <v>66</v>
      </c>
      <c r="G12" s="15">
        <v>44</v>
      </c>
      <c r="H12" s="2">
        <v>77</v>
      </c>
      <c r="I12" s="15">
        <v>55</v>
      </c>
      <c r="J12" s="2">
        <v>3003</v>
      </c>
      <c r="K12" s="2">
        <v>3003</v>
      </c>
      <c r="L12" s="2">
        <v>3003</v>
      </c>
      <c r="M12" s="2">
        <v>3003</v>
      </c>
      <c r="N12" s="2">
        <v>3003</v>
      </c>
      <c r="O12" s="2">
        <v>3003</v>
      </c>
      <c r="P12" s="2">
        <v>3003</v>
      </c>
      <c r="Q12" s="15">
        <v>3003</v>
      </c>
      <c r="R12" s="87">
        <v>330</v>
      </c>
      <c r="S12" s="2">
        <v>231</v>
      </c>
      <c r="T12" s="2">
        <v>264</v>
      </c>
      <c r="U12" s="2">
        <v>165</v>
      </c>
      <c r="V12" s="2">
        <v>165</v>
      </c>
      <c r="W12" s="106">
        <v>330</v>
      </c>
    </row>
    <row r="13" spans="1:23" ht="11.25">
      <c r="A13" s="2">
        <v>12</v>
      </c>
      <c r="B13" s="2">
        <v>60</v>
      </c>
      <c r="C13" s="15">
        <v>370</v>
      </c>
      <c r="D13" s="2">
        <v>72</v>
      </c>
      <c r="E13" s="15">
        <v>48</v>
      </c>
      <c r="F13" s="2">
        <v>72</v>
      </c>
      <c r="G13" s="15">
        <v>48</v>
      </c>
      <c r="H13" s="2">
        <v>84</v>
      </c>
      <c r="I13" s="15">
        <v>60</v>
      </c>
      <c r="J13" s="2">
        <v>3276</v>
      </c>
      <c r="K13" s="2">
        <v>3276</v>
      </c>
      <c r="L13" s="105">
        <v>3276</v>
      </c>
      <c r="M13" s="105">
        <v>3276</v>
      </c>
      <c r="N13" s="105">
        <v>3276</v>
      </c>
      <c r="O13" s="105">
        <v>3276</v>
      </c>
      <c r="P13" s="105">
        <v>3276</v>
      </c>
      <c r="Q13" s="15">
        <v>3276</v>
      </c>
      <c r="R13" s="87">
        <v>370</v>
      </c>
      <c r="S13" s="2">
        <v>259</v>
      </c>
      <c r="T13" s="2">
        <v>296</v>
      </c>
      <c r="U13" s="2">
        <v>185</v>
      </c>
      <c r="V13" s="2">
        <v>185</v>
      </c>
      <c r="W13" s="106">
        <v>370</v>
      </c>
    </row>
    <row r="14" spans="1:23" ht="11.25">
      <c r="A14" s="2">
        <v>13</v>
      </c>
      <c r="B14" s="2">
        <v>65</v>
      </c>
      <c r="C14" s="15">
        <v>390</v>
      </c>
      <c r="D14" s="2">
        <v>78</v>
      </c>
      <c r="E14" s="15">
        <v>52</v>
      </c>
      <c r="F14" s="2">
        <v>78</v>
      </c>
      <c r="G14" s="15">
        <v>52</v>
      </c>
      <c r="H14" s="2">
        <v>91</v>
      </c>
      <c r="I14" s="15">
        <v>65</v>
      </c>
      <c r="J14" s="2">
        <v>4394</v>
      </c>
      <c r="K14" s="2">
        <v>4394</v>
      </c>
      <c r="L14" s="2">
        <v>4394</v>
      </c>
      <c r="M14" s="2">
        <v>4394</v>
      </c>
      <c r="N14" s="2">
        <v>4394</v>
      </c>
      <c r="O14" s="2">
        <v>4394</v>
      </c>
      <c r="P14" s="2">
        <v>4394</v>
      </c>
      <c r="Q14" s="15">
        <v>4394</v>
      </c>
      <c r="R14" s="87">
        <v>390</v>
      </c>
      <c r="S14" s="2">
        <v>273</v>
      </c>
      <c r="T14" s="2">
        <v>312</v>
      </c>
      <c r="U14" s="2">
        <v>195</v>
      </c>
      <c r="V14" s="2">
        <v>195</v>
      </c>
      <c r="W14" s="106">
        <v>390</v>
      </c>
    </row>
    <row r="15" spans="1:23" ht="11.25">
      <c r="A15" s="2">
        <v>14</v>
      </c>
      <c r="B15" s="2">
        <v>70</v>
      </c>
      <c r="C15" s="15">
        <v>430</v>
      </c>
      <c r="D15" s="2">
        <v>84</v>
      </c>
      <c r="E15" s="15">
        <v>56</v>
      </c>
      <c r="F15" s="2">
        <v>84</v>
      </c>
      <c r="G15" s="15">
        <v>56</v>
      </c>
      <c r="H15" s="2">
        <v>98</v>
      </c>
      <c r="I15" s="15">
        <v>70</v>
      </c>
      <c r="J15" s="2">
        <v>4732</v>
      </c>
      <c r="K15" s="2">
        <v>4732</v>
      </c>
      <c r="L15" s="2">
        <v>4732</v>
      </c>
      <c r="M15" s="2">
        <v>4732</v>
      </c>
      <c r="N15" s="2">
        <v>4732</v>
      </c>
      <c r="O15" s="2">
        <v>4732</v>
      </c>
      <c r="P15" s="2">
        <v>4732</v>
      </c>
      <c r="Q15" s="15">
        <v>4732</v>
      </c>
      <c r="R15" s="87">
        <v>430</v>
      </c>
      <c r="S15" s="2">
        <v>301</v>
      </c>
      <c r="T15" s="2">
        <v>344</v>
      </c>
      <c r="U15" s="2">
        <v>215</v>
      </c>
      <c r="V15" s="2">
        <v>215</v>
      </c>
      <c r="W15" s="106">
        <v>430</v>
      </c>
    </row>
    <row r="16" spans="1:23" ht="11.25">
      <c r="A16" s="2">
        <v>15</v>
      </c>
      <c r="B16" s="2">
        <v>75</v>
      </c>
      <c r="C16" s="15">
        <v>460</v>
      </c>
      <c r="D16" s="2">
        <v>90</v>
      </c>
      <c r="E16" s="15">
        <v>60</v>
      </c>
      <c r="F16" s="2">
        <v>90</v>
      </c>
      <c r="G16" s="15">
        <v>60</v>
      </c>
      <c r="H16" s="2">
        <v>105</v>
      </c>
      <c r="I16" s="15">
        <v>75</v>
      </c>
      <c r="J16" s="2">
        <v>6123</v>
      </c>
      <c r="K16" s="2">
        <v>6123</v>
      </c>
      <c r="L16" s="2">
        <v>6123</v>
      </c>
      <c r="M16" s="2">
        <v>6123</v>
      </c>
      <c r="N16" s="2">
        <v>6123</v>
      </c>
      <c r="O16" s="2">
        <v>6123</v>
      </c>
      <c r="P16" s="2">
        <v>6123</v>
      </c>
      <c r="Q16" s="15">
        <v>6123</v>
      </c>
      <c r="R16" s="87">
        <v>460</v>
      </c>
      <c r="S16" s="2">
        <v>322</v>
      </c>
      <c r="T16" s="2">
        <v>368</v>
      </c>
      <c r="U16" s="2">
        <v>230</v>
      </c>
      <c r="V16" s="2">
        <v>230</v>
      </c>
      <c r="W16" s="106">
        <v>460</v>
      </c>
    </row>
    <row r="17" spans="1:23" ht="11.25">
      <c r="A17" s="2">
        <v>16</v>
      </c>
      <c r="B17" s="2">
        <v>80</v>
      </c>
      <c r="C17" s="15">
        <v>600</v>
      </c>
      <c r="D17" s="2">
        <v>96</v>
      </c>
      <c r="E17" s="15">
        <v>64</v>
      </c>
      <c r="F17" s="2">
        <v>96</v>
      </c>
      <c r="G17" s="15">
        <v>64</v>
      </c>
      <c r="H17" s="2">
        <v>112</v>
      </c>
      <c r="I17" s="15">
        <v>80</v>
      </c>
      <c r="J17" s="2">
        <v>6526</v>
      </c>
      <c r="K17" s="2">
        <v>6526</v>
      </c>
      <c r="L17" s="2">
        <v>6526</v>
      </c>
      <c r="M17" s="2">
        <v>6526</v>
      </c>
      <c r="N17" s="2">
        <v>6526</v>
      </c>
      <c r="O17" s="2">
        <v>6526</v>
      </c>
      <c r="P17" s="2">
        <v>6526</v>
      </c>
      <c r="Q17" s="15">
        <v>6526</v>
      </c>
      <c r="R17" s="87">
        <v>600</v>
      </c>
      <c r="S17" s="2">
        <v>420</v>
      </c>
      <c r="T17" s="2">
        <v>480</v>
      </c>
      <c r="U17" s="2">
        <v>300</v>
      </c>
      <c r="V17" s="2">
        <v>300</v>
      </c>
      <c r="W17" s="106">
        <v>600</v>
      </c>
    </row>
    <row r="18" spans="1:23" ht="11.25">
      <c r="A18" s="2">
        <v>17</v>
      </c>
      <c r="B18" s="2">
        <v>85</v>
      </c>
      <c r="C18" s="15">
        <v>640</v>
      </c>
      <c r="D18" s="2">
        <v>102</v>
      </c>
      <c r="E18" s="15">
        <v>68</v>
      </c>
      <c r="F18" s="2">
        <v>102</v>
      </c>
      <c r="G18" s="15">
        <v>68</v>
      </c>
      <c r="H18" s="2">
        <v>119</v>
      </c>
      <c r="I18" s="15">
        <v>85</v>
      </c>
      <c r="J18" s="2">
        <v>8268</v>
      </c>
      <c r="K18" s="2">
        <v>8268</v>
      </c>
      <c r="L18" s="2">
        <v>8268</v>
      </c>
      <c r="M18" s="2">
        <v>8268</v>
      </c>
      <c r="N18" s="2">
        <v>8268</v>
      </c>
      <c r="O18" s="2">
        <v>8268</v>
      </c>
      <c r="P18" s="2">
        <v>8268</v>
      </c>
      <c r="Q18" s="15">
        <v>8268</v>
      </c>
      <c r="R18" s="87">
        <v>640</v>
      </c>
      <c r="S18" s="2">
        <v>448</v>
      </c>
      <c r="T18" s="2">
        <v>512</v>
      </c>
      <c r="U18" s="2">
        <v>320</v>
      </c>
      <c r="V18" s="2">
        <v>320</v>
      </c>
      <c r="W18" s="106">
        <v>640</v>
      </c>
    </row>
    <row r="19" spans="1:23" ht="11.25">
      <c r="A19" s="2">
        <v>18</v>
      </c>
      <c r="B19" s="2">
        <v>90</v>
      </c>
      <c r="C19" s="15">
        <v>680</v>
      </c>
      <c r="D19" s="2">
        <v>108</v>
      </c>
      <c r="E19" s="15">
        <v>72</v>
      </c>
      <c r="F19" s="2">
        <v>108</v>
      </c>
      <c r="G19" s="15">
        <v>72</v>
      </c>
      <c r="H19" s="2">
        <v>126</v>
      </c>
      <c r="I19" s="15">
        <v>90</v>
      </c>
      <c r="J19" s="2">
        <v>8749</v>
      </c>
      <c r="K19" s="2">
        <v>8749</v>
      </c>
      <c r="L19" s="2">
        <v>8749</v>
      </c>
      <c r="M19" s="2">
        <v>8749</v>
      </c>
      <c r="N19" s="2">
        <v>8749</v>
      </c>
      <c r="O19" s="2">
        <v>8749</v>
      </c>
      <c r="P19" s="2">
        <v>8749</v>
      </c>
      <c r="Q19" s="15">
        <v>8749</v>
      </c>
      <c r="R19" s="87">
        <v>680</v>
      </c>
      <c r="S19" s="2">
        <v>476</v>
      </c>
      <c r="T19" s="2">
        <v>544</v>
      </c>
      <c r="U19" s="2">
        <v>340</v>
      </c>
      <c r="V19" s="2">
        <v>340</v>
      </c>
      <c r="W19" s="106">
        <v>680</v>
      </c>
    </row>
    <row r="20" spans="1:23" ht="11.25">
      <c r="A20" s="2">
        <v>19</v>
      </c>
      <c r="B20" s="2">
        <v>95</v>
      </c>
      <c r="C20" s="15">
        <v>720</v>
      </c>
      <c r="D20" s="2">
        <v>114</v>
      </c>
      <c r="E20" s="15">
        <v>76</v>
      </c>
      <c r="F20" s="2">
        <v>114</v>
      </c>
      <c r="G20" s="15">
        <v>76</v>
      </c>
      <c r="H20" s="2">
        <v>133</v>
      </c>
      <c r="I20" s="15">
        <v>95</v>
      </c>
      <c r="J20" s="2">
        <v>10660</v>
      </c>
      <c r="K20" s="2">
        <v>10660</v>
      </c>
      <c r="L20" s="105">
        <v>10660</v>
      </c>
      <c r="M20" s="105">
        <v>10660</v>
      </c>
      <c r="N20" s="105">
        <v>10660</v>
      </c>
      <c r="O20" s="105">
        <v>10660</v>
      </c>
      <c r="P20" s="105">
        <v>10660</v>
      </c>
      <c r="Q20" s="15">
        <v>10660</v>
      </c>
      <c r="R20" s="87">
        <v>720</v>
      </c>
      <c r="S20" s="2">
        <v>504</v>
      </c>
      <c r="T20" s="2">
        <v>576</v>
      </c>
      <c r="U20" s="2">
        <v>360</v>
      </c>
      <c r="V20" s="2">
        <v>360</v>
      </c>
      <c r="W20" s="106">
        <v>720</v>
      </c>
    </row>
    <row r="21" spans="1:23" ht="12" thickBot="1">
      <c r="A21" s="6">
        <v>20</v>
      </c>
      <c r="B21" s="6">
        <v>100</v>
      </c>
      <c r="C21" s="16">
        <v>760</v>
      </c>
      <c r="D21" s="6">
        <v>120</v>
      </c>
      <c r="E21" s="16">
        <v>80</v>
      </c>
      <c r="F21" s="6">
        <v>120</v>
      </c>
      <c r="G21" s="16">
        <v>80</v>
      </c>
      <c r="H21" s="6">
        <v>140</v>
      </c>
      <c r="I21" s="16">
        <v>100</v>
      </c>
      <c r="J21" s="67">
        <v>13000</v>
      </c>
      <c r="K21" s="4">
        <v>13000</v>
      </c>
      <c r="L21" s="4">
        <v>13000</v>
      </c>
      <c r="M21" s="4">
        <v>13000</v>
      </c>
      <c r="N21" s="4">
        <v>13000</v>
      </c>
      <c r="O21" s="4">
        <v>13000</v>
      </c>
      <c r="P21" s="4">
        <v>13000</v>
      </c>
      <c r="Q21" s="14">
        <v>13000</v>
      </c>
      <c r="R21" s="69">
        <v>760</v>
      </c>
      <c r="S21" s="6">
        <v>532</v>
      </c>
      <c r="T21" s="6">
        <v>608</v>
      </c>
      <c r="U21" s="6">
        <v>380</v>
      </c>
      <c r="V21" s="6">
        <v>380</v>
      </c>
      <c r="W21" s="144">
        <v>760</v>
      </c>
    </row>
    <row r="22" spans="1:23" ht="11.25">
      <c r="A22" s="2">
        <v>21</v>
      </c>
      <c r="B22" s="2">
        <v>160</v>
      </c>
      <c r="C22" s="15">
        <v>1240</v>
      </c>
      <c r="D22" s="2">
        <v>192</v>
      </c>
      <c r="E22" s="15">
        <v>128</v>
      </c>
      <c r="F22" s="2">
        <v>192</v>
      </c>
      <c r="G22" s="15">
        <v>128</v>
      </c>
      <c r="H22" s="2">
        <v>224</v>
      </c>
      <c r="I22" s="15">
        <v>160</v>
      </c>
      <c r="J22" s="2">
        <v>19500</v>
      </c>
      <c r="K22" s="2">
        <v>19500</v>
      </c>
      <c r="L22" s="2">
        <v>19500</v>
      </c>
      <c r="M22" s="2">
        <v>19500</v>
      </c>
      <c r="N22" s="2">
        <v>19500</v>
      </c>
      <c r="O22" s="2">
        <v>19500</v>
      </c>
      <c r="P22" s="2">
        <v>19500</v>
      </c>
      <c r="Q22" s="15">
        <v>19500</v>
      </c>
      <c r="R22" s="87">
        <v>1240</v>
      </c>
      <c r="S22" s="2">
        <v>868</v>
      </c>
      <c r="T22" s="2">
        <v>992</v>
      </c>
      <c r="U22" s="2">
        <v>620</v>
      </c>
      <c r="V22" s="2">
        <v>620</v>
      </c>
      <c r="W22" s="106">
        <v>1240</v>
      </c>
    </row>
    <row r="23" spans="1:23" ht="11.25">
      <c r="A23" s="2">
        <v>22</v>
      </c>
      <c r="B23" s="2">
        <v>165</v>
      </c>
      <c r="C23" s="15">
        <v>1300</v>
      </c>
      <c r="D23" s="2">
        <v>198</v>
      </c>
      <c r="E23" s="15">
        <v>132</v>
      </c>
      <c r="F23" s="2">
        <v>198</v>
      </c>
      <c r="G23" s="15">
        <v>132</v>
      </c>
      <c r="H23" s="2">
        <v>231</v>
      </c>
      <c r="I23" s="15">
        <v>165</v>
      </c>
      <c r="R23" s="2">
        <v>1300</v>
      </c>
      <c r="S23" s="2">
        <v>910</v>
      </c>
      <c r="T23" s="2">
        <v>1040</v>
      </c>
      <c r="U23" s="2">
        <v>650</v>
      </c>
      <c r="V23" s="2">
        <v>650</v>
      </c>
      <c r="W23" s="106">
        <v>1300</v>
      </c>
    </row>
    <row r="24" spans="1:23" ht="11.25">
      <c r="A24" s="2">
        <v>23</v>
      </c>
      <c r="B24" s="2">
        <v>170</v>
      </c>
      <c r="C24" s="15">
        <v>1350</v>
      </c>
      <c r="D24" s="2">
        <v>204</v>
      </c>
      <c r="E24" s="15">
        <v>136</v>
      </c>
      <c r="F24" s="2">
        <v>204</v>
      </c>
      <c r="G24" s="15">
        <v>136</v>
      </c>
      <c r="H24" s="2">
        <v>238</v>
      </c>
      <c r="I24" s="15">
        <v>170</v>
      </c>
      <c r="R24" s="2">
        <v>1350</v>
      </c>
      <c r="S24" s="2">
        <v>945</v>
      </c>
      <c r="T24" s="2">
        <v>1080</v>
      </c>
      <c r="U24" s="2">
        <v>675</v>
      </c>
      <c r="V24" s="2">
        <v>675</v>
      </c>
      <c r="W24" s="106">
        <v>1350</v>
      </c>
    </row>
    <row r="25" spans="1:23" ht="11.25">
      <c r="A25" s="2">
        <v>24</v>
      </c>
      <c r="B25" s="2">
        <v>185</v>
      </c>
      <c r="C25" s="15">
        <v>1410</v>
      </c>
      <c r="D25" s="2">
        <v>222</v>
      </c>
      <c r="E25" s="15">
        <v>148</v>
      </c>
      <c r="F25" s="2">
        <v>222</v>
      </c>
      <c r="G25" s="15">
        <v>148</v>
      </c>
      <c r="H25" s="2">
        <v>259</v>
      </c>
      <c r="I25" s="15">
        <v>185</v>
      </c>
      <c r="R25" s="2">
        <v>1410</v>
      </c>
      <c r="S25" s="2">
        <v>987</v>
      </c>
      <c r="T25" s="2">
        <v>1128</v>
      </c>
      <c r="U25" s="2">
        <v>705</v>
      </c>
      <c r="V25" s="2">
        <v>705</v>
      </c>
      <c r="W25" s="106">
        <v>1410</v>
      </c>
    </row>
    <row r="26" spans="1:23" ht="11.25">
      <c r="A26" s="2">
        <v>25</v>
      </c>
      <c r="B26" s="2">
        <v>190</v>
      </c>
      <c r="C26" s="15">
        <v>1490</v>
      </c>
      <c r="D26" s="2">
        <v>228</v>
      </c>
      <c r="E26" s="15">
        <v>152</v>
      </c>
      <c r="F26" s="2">
        <v>228</v>
      </c>
      <c r="G26" s="15">
        <v>152</v>
      </c>
      <c r="H26" s="2">
        <v>266</v>
      </c>
      <c r="I26" s="15">
        <v>190</v>
      </c>
      <c r="R26" s="2">
        <v>1490</v>
      </c>
      <c r="S26" s="2">
        <v>1043</v>
      </c>
      <c r="T26" s="2">
        <v>1192</v>
      </c>
      <c r="U26" s="2">
        <v>745</v>
      </c>
      <c r="V26" s="2">
        <v>745</v>
      </c>
      <c r="W26" s="106">
        <v>1490</v>
      </c>
    </row>
    <row r="27" spans="1:23" ht="11.25">
      <c r="A27" s="2">
        <v>26</v>
      </c>
      <c r="B27" s="2">
        <v>195</v>
      </c>
      <c r="C27" s="15">
        <v>2180</v>
      </c>
      <c r="D27" s="2">
        <v>234</v>
      </c>
      <c r="E27" s="15">
        <v>156</v>
      </c>
      <c r="F27" s="2">
        <v>234</v>
      </c>
      <c r="G27" s="15">
        <v>156</v>
      </c>
      <c r="H27" s="2">
        <v>273</v>
      </c>
      <c r="I27" s="15">
        <v>195</v>
      </c>
      <c r="R27" s="2">
        <v>2180</v>
      </c>
      <c r="S27" s="2">
        <v>1526</v>
      </c>
      <c r="T27" s="2">
        <v>1744</v>
      </c>
      <c r="U27" s="2">
        <v>1090</v>
      </c>
      <c r="V27" s="2">
        <v>1090</v>
      </c>
      <c r="W27" s="106">
        <v>2180</v>
      </c>
    </row>
    <row r="28" spans="1:23" ht="11.25">
      <c r="A28" s="2">
        <v>27</v>
      </c>
      <c r="B28" s="2">
        <v>210</v>
      </c>
      <c r="C28" s="15">
        <v>2260</v>
      </c>
      <c r="D28" s="2">
        <v>252</v>
      </c>
      <c r="E28" s="15">
        <v>168</v>
      </c>
      <c r="F28" s="2">
        <v>252</v>
      </c>
      <c r="G28" s="15">
        <v>168</v>
      </c>
      <c r="H28" s="2">
        <v>294</v>
      </c>
      <c r="I28" s="15">
        <v>210</v>
      </c>
      <c r="R28" s="2">
        <v>2260</v>
      </c>
      <c r="S28" s="2">
        <v>1582</v>
      </c>
      <c r="T28" s="2">
        <v>1808</v>
      </c>
      <c r="U28" s="2">
        <v>1130</v>
      </c>
      <c r="V28" s="2">
        <v>1130</v>
      </c>
      <c r="W28" s="106">
        <v>2260</v>
      </c>
    </row>
    <row r="29" spans="1:23" ht="11.25">
      <c r="A29" s="2">
        <v>28</v>
      </c>
      <c r="B29" s="2">
        <v>215</v>
      </c>
      <c r="C29" s="15">
        <v>2340</v>
      </c>
      <c r="D29" s="2">
        <v>258</v>
      </c>
      <c r="E29" s="15">
        <v>172</v>
      </c>
      <c r="F29" s="2">
        <v>258</v>
      </c>
      <c r="G29" s="15">
        <v>172</v>
      </c>
      <c r="H29" s="2">
        <v>301</v>
      </c>
      <c r="I29" s="15">
        <v>215</v>
      </c>
      <c r="R29" s="2">
        <v>2340</v>
      </c>
      <c r="S29" s="2">
        <v>1638</v>
      </c>
      <c r="T29" s="2">
        <v>1872</v>
      </c>
      <c r="U29" s="2">
        <v>1170</v>
      </c>
      <c r="V29" s="2">
        <v>1170</v>
      </c>
      <c r="W29" s="106">
        <v>2340</v>
      </c>
    </row>
    <row r="30" spans="1:23" ht="11.25">
      <c r="A30" s="2">
        <v>29</v>
      </c>
      <c r="B30" s="2">
        <v>220</v>
      </c>
      <c r="C30" s="15">
        <v>2430</v>
      </c>
      <c r="D30" s="2">
        <v>264</v>
      </c>
      <c r="E30" s="15">
        <v>176</v>
      </c>
      <c r="F30" s="2">
        <v>264</v>
      </c>
      <c r="G30" s="15">
        <v>176</v>
      </c>
      <c r="H30" s="2">
        <v>308</v>
      </c>
      <c r="I30" s="15">
        <v>220</v>
      </c>
      <c r="R30" s="2">
        <v>2430</v>
      </c>
      <c r="S30" s="2">
        <v>1701</v>
      </c>
      <c r="T30" s="2">
        <v>1944</v>
      </c>
      <c r="U30" s="2">
        <v>1215</v>
      </c>
      <c r="V30" s="2">
        <v>1215</v>
      </c>
      <c r="W30" s="106">
        <v>2430</v>
      </c>
    </row>
    <row r="31" spans="1:23" ht="11.25">
      <c r="A31" s="6">
        <v>30</v>
      </c>
      <c r="B31" s="6">
        <v>230</v>
      </c>
      <c r="C31" s="16">
        <v>2520</v>
      </c>
      <c r="D31" s="6">
        <v>276</v>
      </c>
      <c r="E31" s="16">
        <v>184</v>
      </c>
      <c r="F31" s="6">
        <v>276</v>
      </c>
      <c r="G31" s="16">
        <v>184</v>
      </c>
      <c r="H31" s="6">
        <v>322</v>
      </c>
      <c r="I31" s="16">
        <v>230</v>
      </c>
      <c r="J31" s="6"/>
      <c r="K31" s="6"/>
      <c r="L31" s="6"/>
      <c r="M31" s="6"/>
      <c r="N31" s="6"/>
      <c r="O31" s="6"/>
      <c r="P31" s="6"/>
      <c r="Q31" s="16"/>
      <c r="R31" s="6">
        <v>2520</v>
      </c>
      <c r="S31" s="6">
        <v>1764</v>
      </c>
      <c r="T31" s="6">
        <v>2016</v>
      </c>
      <c r="U31" s="6">
        <v>1260</v>
      </c>
      <c r="V31" s="6">
        <v>1260</v>
      </c>
      <c r="W31" s="144">
        <v>2520</v>
      </c>
    </row>
    <row r="32" spans="1:23" ht="11.25">
      <c r="A32" s="2">
        <v>31</v>
      </c>
      <c r="B32" s="2">
        <v>285</v>
      </c>
      <c r="C32" s="15">
        <v>3220</v>
      </c>
      <c r="D32" s="2">
        <v>342</v>
      </c>
      <c r="E32" s="15">
        <v>228</v>
      </c>
      <c r="F32" s="2">
        <v>342</v>
      </c>
      <c r="G32" s="15">
        <v>228</v>
      </c>
      <c r="H32" s="2">
        <v>399</v>
      </c>
      <c r="I32" s="15">
        <v>285</v>
      </c>
      <c r="R32" s="2">
        <v>3220</v>
      </c>
      <c r="S32" s="2">
        <v>2254</v>
      </c>
      <c r="T32" s="2">
        <v>2576</v>
      </c>
      <c r="U32" s="2">
        <v>1610</v>
      </c>
      <c r="V32" s="2">
        <v>1610</v>
      </c>
      <c r="W32" s="106">
        <v>3220</v>
      </c>
    </row>
    <row r="33" spans="1:23" ht="11.25">
      <c r="A33" s="2">
        <v>32</v>
      </c>
      <c r="B33" s="2">
        <v>300</v>
      </c>
      <c r="C33" s="106">
        <v>3320</v>
      </c>
      <c r="D33" s="2">
        <v>360</v>
      </c>
      <c r="E33" s="15">
        <v>240</v>
      </c>
      <c r="F33" s="2">
        <v>360</v>
      </c>
      <c r="G33" s="15">
        <v>240</v>
      </c>
      <c r="H33" s="2">
        <v>420</v>
      </c>
      <c r="I33" s="15">
        <v>300</v>
      </c>
      <c r="R33" s="2">
        <v>3320</v>
      </c>
      <c r="T33" s="2">
        <v>2656</v>
      </c>
      <c r="U33" s="2">
        <v>1660</v>
      </c>
      <c r="V33" s="2">
        <v>1660</v>
      </c>
      <c r="W33" s="106">
        <v>3320</v>
      </c>
    </row>
    <row r="34" spans="1:23" ht="11.25">
      <c r="A34" s="2">
        <v>33</v>
      </c>
      <c r="B34" s="2">
        <v>305</v>
      </c>
      <c r="C34" s="106">
        <v>3420</v>
      </c>
      <c r="D34" s="2">
        <v>366</v>
      </c>
      <c r="E34" s="15">
        <v>244</v>
      </c>
      <c r="F34" s="2">
        <v>366</v>
      </c>
      <c r="G34" s="15">
        <v>244</v>
      </c>
      <c r="H34" s="2">
        <v>427</v>
      </c>
      <c r="I34" s="15">
        <v>305</v>
      </c>
      <c r="R34" s="2">
        <v>3420</v>
      </c>
      <c r="T34" s="2">
        <v>2736</v>
      </c>
      <c r="U34" s="2">
        <v>1710</v>
      </c>
      <c r="V34" s="2">
        <v>1710</v>
      </c>
      <c r="W34" s="106">
        <v>3420</v>
      </c>
    </row>
    <row r="35" spans="1:23" ht="11.25">
      <c r="A35" s="2">
        <v>34</v>
      </c>
      <c r="B35" s="2">
        <v>320</v>
      </c>
      <c r="C35" s="15">
        <v>3520</v>
      </c>
      <c r="D35" s="2">
        <v>384</v>
      </c>
      <c r="E35" s="15">
        <v>256</v>
      </c>
      <c r="F35" s="2">
        <v>384</v>
      </c>
      <c r="G35" s="15">
        <v>256</v>
      </c>
      <c r="H35" s="2">
        <v>448</v>
      </c>
      <c r="I35" s="15">
        <v>320</v>
      </c>
      <c r="R35" s="2">
        <v>3520</v>
      </c>
      <c r="S35" s="2">
        <v>2464</v>
      </c>
      <c r="T35" s="2">
        <v>2816</v>
      </c>
      <c r="U35" s="2">
        <v>1760</v>
      </c>
      <c r="V35" s="2">
        <v>1760</v>
      </c>
      <c r="W35" s="106">
        <v>3520</v>
      </c>
    </row>
    <row r="36" spans="1:23" ht="11.25">
      <c r="A36" s="2">
        <v>35</v>
      </c>
      <c r="B36" s="2">
        <v>325</v>
      </c>
      <c r="C36" s="15">
        <v>3640</v>
      </c>
      <c r="D36" s="2">
        <v>390</v>
      </c>
      <c r="E36" s="15">
        <v>260</v>
      </c>
      <c r="F36" s="2">
        <v>390</v>
      </c>
      <c r="G36" s="15">
        <v>260</v>
      </c>
      <c r="H36" s="2">
        <v>455</v>
      </c>
      <c r="I36" s="15">
        <v>325</v>
      </c>
      <c r="R36" s="2">
        <v>3640</v>
      </c>
      <c r="S36" s="2">
        <v>2548</v>
      </c>
      <c r="T36" s="2">
        <v>2912</v>
      </c>
      <c r="U36" s="2">
        <v>1820</v>
      </c>
      <c r="V36" s="2">
        <v>1820</v>
      </c>
      <c r="W36" s="106">
        <v>3640</v>
      </c>
    </row>
    <row r="37" spans="1:23" ht="11.25">
      <c r="A37" s="2">
        <v>36</v>
      </c>
      <c r="B37" s="2">
        <v>340</v>
      </c>
      <c r="C37" s="15">
        <v>4520</v>
      </c>
      <c r="D37" s="2">
        <v>408</v>
      </c>
      <c r="E37" s="15">
        <v>272</v>
      </c>
      <c r="F37" s="2">
        <v>408</v>
      </c>
      <c r="G37" s="15">
        <v>272</v>
      </c>
      <c r="H37" s="2">
        <v>476</v>
      </c>
      <c r="I37" s="15">
        <v>340</v>
      </c>
      <c r="R37" s="2">
        <v>4520</v>
      </c>
      <c r="S37" s="2">
        <v>3164</v>
      </c>
      <c r="T37" s="2">
        <v>3616</v>
      </c>
      <c r="U37" s="2">
        <v>2260</v>
      </c>
      <c r="V37" s="2">
        <v>2260</v>
      </c>
      <c r="W37" s="106">
        <v>4520</v>
      </c>
    </row>
    <row r="38" spans="1:23" ht="11.25">
      <c r="A38" s="2">
        <v>37</v>
      </c>
      <c r="B38" s="2">
        <v>345</v>
      </c>
      <c r="C38" s="15">
        <v>4640</v>
      </c>
      <c r="D38" s="2">
        <v>414</v>
      </c>
      <c r="E38" s="15">
        <v>276</v>
      </c>
      <c r="F38" s="2">
        <v>414</v>
      </c>
      <c r="G38" s="15">
        <v>276</v>
      </c>
      <c r="H38" s="2">
        <v>483</v>
      </c>
      <c r="I38" s="15">
        <v>345</v>
      </c>
      <c r="R38" s="2">
        <v>4640</v>
      </c>
      <c r="S38" s="2">
        <v>3248</v>
      </c>
      <c r="T38" s="2">
        <v>3712</v>
      </c>
      <c r="U38" s="2">
        <v>2320</v>
      </c>
      <c r="V38" s="2">
        <v>2320</v>
      </c>
      <c r="W38" s="106">
        <v>4640</v>
      </c>
    </row>
    <row r="39" spans="1:23" ht="11.25">
      <c r="A39" s="2">
        <v>38</v>
      </c>
      <c r="B39" s="2">
        <v>360</v>
      </c>
      <c r="C39" s="15">
        <v>4760</v>
      </c>
      <c r="D39" s="2">
        <v>432</v>
      </c>
      <c r="E39" s="15">
        <v>288</v>
      </c>
      <c r="F39" s="2">
        <v>432</v>
      </c>
      <c r="G39" s="15">
        <v>288</v>
      </c>
      <c r="H39" s="2">
        <v>504</v>
      </c>
      <c r="I39" s="15">
        <v>360</v>
      </c>
      <c r="R39" s="2">
        <v>4760</v>
      </c>
      <c r="S39" s="2">
        <v>3332</v>
      </c>
      <c r="T39" s="2">
        <v>3808</v>
      </c>
      <c r="U39" s="2">
        <v>2380</v>
      </c>
      <c r="V39" s="2">
        <v>2380</v>
      </c>
      <c r="W39" s="106">
        <v>4760</v>
      </c>
    </row>
    <row r="40" spans="1:23" ht="11.25">
      <c r="A40" s="2">
        <v>39</v>
      </c>
      <c r="B40" s="2">
        <v>365</v>
      </c>
      <c r="C40" s="15">
        <v>4880</v>
      </c>
      <c r="D40" s="2">
        <v>438</v>
      </c>
      <c r="E40" s="15">
        <v>292</v>
      </c>
      <c r="F40" s="2">
        <v>438</v>
      </c>
      <c r="G40" s="15">
        <v>292</v>
      </c>
      <c r="H40" s="2">
        <v>511</v>
      </c>
      <c r="I40" s="15">
        <v>365</v>
      </c>
      <c r="R40" s="2">
        <v>4880</v>
      </c>
      <c r="S40" s="2">
        <v>3416</v>
      </c>
      <c r="T40" s="2">
        <v>3904</v>
      </c>
      <c r="U40" s="2">
        <v>2440</v>
      </c>
      <c r="V40" s="2">
        <v>2440</v>
      </c>
      <c r="W40" s="106">
        <v>4880</v>
      </c>
    </row>
    <row r="41" spans="1:23" ht="11.25">
      <c r="A41" s="6">
        <v>40</v>
      </c>
      <c r="B41" s="6">
        <v>380</v>
      </c>
      <c r="C41" s="16">
        <v>5020</v>
      </c>
      <c r="D41" s="6">
        <v>456</v>
      </c>
      <c r="E41" s="16">
        <v>304</v>
      </c>
      <c r="F41" s="6">
        <v>456</v>
      </c>
      <c r="G41" s="16">
        <v>304</v>
      </c>
      <c r="H41" s="6">
        <v>532</v>
      </c>
      <c r="I41" s="16">
        <v>380</v>
      </c>
      <c r="J41" s="6"/>
      <c r="K41" s="6"/>
      <c r="L41" s="6"/>
      <c r="M41" s="6"/>
      <c r="N41" s="6"/>
      <c r="O41" s="6"/>
      <c r="P41" s="6"/>
      <c r="Q41" s="16"/>
      <c r="R41" s="6">
        <v>5020</v>
      </c>
      <c r="S41" s="6">
        <v>3514</v>
      </c>
      <c r="T41" s="6">
        <v>4016</v>
      </c>
      <c r="U41" s="6">
        <v>2510</v>
      </c>
      <c r="V41" s="6">
        <v>2510</v>
      </c>
      <c r="W41" s="144">
        <v>5020</v>
      </c>
    </row>
    <row r="42" spans="1:23" ht="11.25">
      <c r="A42" s="2">
        <v>41</v>
      </c>
      <c r="B42" s="2">
        <v>600</v>
      </c>
      <c r="C42" s="15">
        <v>6130</v>
      </c>
      <c r="D42" s="2">
        <v>720</v>
      </c>
      <c r="E42" s="15">
        <v>480</v>
      </c>
      <c r="F42" s="2">
        <v>720</v>
      </c>
      <c r="G42" s="15">
        <v>480</v>
      </c>
      <c r="H42" s="2">
        <v>840</v>
      </c>
      <c r="I42" s="15">
        <v>600</v>
      </c>
      <c r="R42" s="2">
        <v>6130</v>
      </c>
      <c r="S42" s="2">
        <v>4291</v>
      </c>
      <c r="T42" s="2">
        <v>4904</v>
      </c>
      <c r="U42" s="2">
        <v>3065</v>
      </c>
      <c r="V42" s="2">
        <v>3065</v>
      </c>
      <c r="W42" s="106">
        <v>6130</v>
      </c>
    </row>
    <row r="43" spans="1:23" ht="11.25">
      <c r="A43" s="2">
        <v>42</v>
      </c>
      <c r="B43" s="2">
        <v>620</v>
      </c>
      <c r="C43" s="15">
        <v>6270</v>
      </c>
      <c r="D43" s="2">
        <v>744</v>
      </c>
      <c r="E43" s="15">
        <v>496</v>
      </c>
      <c r="F43" s="2">
        <v>744</v>
      </c>
      <c r="G43" s="15">
        <v>496</v>
      </c>
      <c r="H43" s="2">
        <v>868</v>
      </c>
      <c r="I43" s="15">
        <v>620</v>
      </c>
      <c r="R43" s="2">
        <v>6270</v>
      </c>
      <c r="S43" s="2">
        <v>4389</v>
      </c>
      <c r="T43" s="2">
        <v>5016</v>
      </c>
      <c r="U43" s="2">
        <v>3135</v>
      </c>
      <c r="V43" s="2">
        <v>3135</v>
      </c>
      <c r="W43" s="106">
        <v>6270</v>
      </c>
    </row>
    <row r="44" spans="1:23" ht="11.25">
      <c r="A44" s="2">
        <v>43</v>
      </c>
      <c r="B44" s="2">
        <v>640</v>
      </c>
      <c r="C44" s="15">
        <v>6420</v>
      </c>
      <c r="D44" s="2">
        <v>768</v>
      </c>
      <c r="E44" s="15">
        <v>512</v>
      </c>
      <c r="F44" s="2">
        <v>768</v>
      </c>
      <c r="G44" s="15">
        <v>512</v>
      </c>
      <c r="H44" s="2">
        <v>896</v>
      </c>
      <c r="I44" s="15">
        <v>640</v>
      </c>
      <c r="R44" s="2">
        <v>6420</v>
      </c>
      <c r="S44" s="2">
        <v>4494</v>
      </c>
      <c r="T44" s="2">
        <v>5136</v>
      </c>
      <c r="U44" s="2">
        <v>3210</v>
      </c>
      <c r="V44" s="2">
        <v>3210</v>
      </c>
      <c r="W44" s="106">
        <v>6420</v>
      </c>
    </row>
    <row r="45" spans="1:23" ht="11.25">
      <c r="A45" s="2">
        <v>44</v>
      </c>
      <c r="B45" s="2">
        <v>650</v>
      </c>
      <c r="C45" s="15">
        <v>6560</v>
      </c>
      <c r="D45" s="2">
        <v>780</v>
      </c>
      <c r="E45" s="15">
        <v>520</v>
      </c>
      <c r="F45" s="2">
        <v>780</v>
      </c>
      <c r="G45" s="15">
        <v>520</v>
      </c>
      <c r="H45" s="2">
        <v>910</v>
      </c>
      <c r="I45" s="15">
        <v>650</v>
      </c>
      <c r="R45" s="2">
        <v>6560</v>
      </c>
      <c r="S45" s="2">
        <v>4592</v>
      </c>
      <c r="T45" s="2">
        <v>5248</v>
      </c>
      <c r="U45" s="2">
        <v>3280</v>
      </c>
      <c r="V45" s="2">
        <v>3280</v>
      </c>
      <c r="W45" s="106">
        <v>6560</v>
      </c>
    </row>
    <row r="46" spans="1:23" ht="11.25">
      <c r="A46" s="2">
        <v>45</v>
      </c>
      <c r="B46" s="2">
        <v>670</v>
      </c>
      <c r="C46" s="15">
        <v>6730</v>
      </c>
      <c r="D46" s="2">
        <v>804</v>
      </c>
      <c r="E46" s="15">
        <v>536</v>
      </c>
      <c r="F46" s="2">
        <v>804</v>
      </c>
      <c r="G46" s="15">
        <v>536</v>
      </c>
      <c r="H46" s="2">
        <v>938</v>
      </c>
      <c r="I46" s="15">
        <v>670</v>
      </c>
      <c r="R46" s="2">
        <v>6730</v>
      </c>
      <c r="S46" s="2">
        <v>4711</v>
      </c>
      <c r="T46" s="2">
        <v>5384</v>
      </c>
      <c r="U46" s="2">
        <v>3365</v>
      </c>
      <c r="V46" s="2">
        <v>3365</v>
      </c>
      <c r="W46" s="106">
        <v>6730</v>
      </c>
    </row>
    <row r="47" spans="1:23" ht="11.25">
      <c r="A47" s="2">
        <v>46</v>
      </c>
      <c r="B47" s="2">
        <v>675</v>
      </c>
      <c r="C47" s="15">
        <v>7300</v>
      </c>
      <c r="D47" s="2">
        <v>810</v>
      </c>
      <c r="E47" s="15">
        <v>540</v>
      </c>
      <c r="F47" s="2">
        <v>810</v>
      </c>
      <c r="G47" s="15">
        <v>540</v>
      </c>
      <c r="H47" s="2">
        <v>945</v>
      </c>
      <c r="I47" s="15">
        <v>675</v>
      </c>
      <c r="R47" s="2">
        <v>7300</v>
      </c>
      <c r="S47" s="2">
        <v>5110</v>
      </c>
      <c r="T47" s="2">
        <v>5840</v>
      </c>
      <c r="U47" s="2">
        <v>3650</v>
      </c>
      <c r="V47" s="2">
        <v>3650</v>
      </c>
      <c r="W47" s="106">
        <v>7300</v>
      </c>
    </row>
    <row r="48" spans="1:23" ht="11.25">
      <c r="A48" s="2">
        <v>47</v>
      </c>
      <c r="B48" s="2">
        <v>695</v>
      </c>
      <c r="C48" s="15">
        <v>7900</v>
      </c>
      <c r="D48" s="2">
        <v>834</v>
      </c>
      <c r="E48" s="15">
        <v>556</v>
      </c>
      <c r="F48" s="2">
        <v>834</v>
      </c>
      <c r="G48" s="15">
        <v>556</v>
      </c>
      <c r="H48" s="2">
        <v>973</v>
      </c>
      <c r="I48" s="15">
        <v>695</v>
      </c>
      <c r="R48" s="2">
        <v>7900</v>
      </c>
      <c r="S48" s="2">
        <v>5530</v>
      </c>
      <c r="T48" s="2">
        <v>6320</v>
      </c>
      <c r="U48" s="2">
        <v>3950</v>
      </c>
      <c r="V48" s="2">
        <v>3950</v>
      </c>
      <c r="W48" s="106">
        <v>7900</v>
      </c>
    </row>
    <row r="49" spans="1:23" ht="11.25">
      <c r="A49" s="2">
        <v>48</v>
      </c>
      <c r="B49" s="2">
        <v>705</v>
      </c>
      <c r="C49" s="15">
        <v>8500</v>
      </c>
      <c r="D49" s="2">
        <v>846</v>
      </c>
      <c r="E49" s="15">
        <v>564</v>
      </c>
      <c r="F49" s="2">
        <v>846</v>
      </c>
      <c r="G49" s="15">
        <v>564</v>
      </c>
      <c r="H49" s="2">
        <v>987</v>
      </c>
      <c r="I49" s="15">
        <v>705</v>
      </c>
      <c r="R49" s="2">
        <v>8500</v>
      </c>
      <c r="S49" s="2">
        <v>5950</v>
      </c>
      <c r="T49" s="2">
        <v>6800</v>
      </c>
      <c r="U49" s="2">
        <v>4250</v>
      </c>
      <c r="V49" s="2">
        <v>4250</v>
      </c>
      <c r="W49" s="106">
        <v>8500</v>
      </c>
    </row>
    <row r="50" spans="1:23" ht="11.25">
      <c r="A50" s="2">
        <v>49</v>
      </c>
      <c r="B50" s="2">
        <v>725</v>
      </c>
      <c r="C50" s="15">
        <v>9200</v>
      </c>
      <c r="D50" s="2">
        <v>870</v>
      </c>
      <c r="E50" s="15">
        <v>580</v>
      </c>
      <c r="F50" s="2">
        <v>870</v>
      </c>
      <c r="G50" s="15">
        <v>580</v>
      </c>
      <c r="H50" s="2">
        <v>1015</v>
      </c>
      <c r="I50" s="15">
        <v>725</v>
      </c>
      <c r="R50" s="2">
        <v>9200</v>
      </c>
      <c r="S50" s="2">
        <v>6440</v>
      </c>
      <c r="T50" s="2">
        <v>7360</v>
      </c>
      <c r="U50" s="2">
        <v>4600</v>
      </c>
      <c r="V50" s="2">
        <v>4600</v>
      </c>
      <c r="W50" s="106">
        <v>9200</v>
      </c>
    </row>
    <row r="51" spans="1:23" ht="12" thickBot="1">
      <c r="A51" s="6">
        <v>50</v>
      </c>
      <c r="B51" s="6">
        <v>745</v>
      </c>
      <c r="C51" s="16">
        <v>10000</v>
      </c>
      <c r="D51" s="6">
        <v>894</v>
      </c>
      <c r="E51" s="16">
        <v>596</v>
      </c>
      <c r="F51" s="6">
        <v>894</v>
      </c>
      <c r="G51" s="16">
        <v>596</v>
      </c>
      <c r="H51" s="6">
        <v>1043</v>
      </c>
      <c r="I51" s="16">
        <v>745</v>
      </c>
      <c r="J51" s="6"/>
      <c r="K51" s="6"/>
      <c r="L51" s="6"/>
      <c r="M51" s="6"/>
      <c r="N51" s="6"/>
      <c r="O51" s="6"/>
      <c r="P51" s="6"/>
      <c r="Q51" s="16"/>
      <c r="R51" s="67">
        <v>10000</v>
      </c>
      <c r="S51" s="4">
        <v>7000</v>
      </c>
      <c r="T51" s="4">
        <v>8000</v>
      </c>
      <c r="U51" s="6">
        <v>5000</v>
      </c>
      <c r="V51" s="6">
        <v>5000</v>
      </c>
      <c r="W51" s="144">
        <v>10000</v>
      </c>
    </row>
    <row r="52" spans="1:23" ht="11.25">
      <c r="A52" s="2">
        <v>51</v>
      </c>
      <c r="B52" s="2">
        <v>1065</v>
      </c>
      <c r="C52" s="15">
        <v>12000</v>
      </c>
      <c r="D52" s="2">
        <v>1278</v>
      </c>
      <c r="E52" s="15">
        <v>852</v>
      </c>
      <c r="F52" s="2">
        <v>1278</v>
      </c>
      <c r="G52" s="15">
        <v>852</v>
      </c>
      <c r="H52" s="2">
        <v>1491</v>
      </c>
      <c r="I52" s="15">
        <v>1065</v>
      </c>
      <c r="R52" s="2">
        <v>12000</v>
      </c>
      <c r="S52" s="2">
        <v>8400</v>
      </c>
      <c r="T52" s="2">
        <v>9600</v>
      </c>
      <c r="W52" s="106">
        <v>12000</v>
      </c>
    </row>
    <row r="53" spans="1:23" ht="11.25">
      <c r="A53" s="2">
        <v>52</v>
      </c>
      <c r="C53" s="15">
        <v>14000</v>
      </c>
      <c r="D53" s="2">
        <v>1308</v>
      </c>
      <c r="E53" s="15">
        <v>872</v>
      </c>
      <c r="F53" s="2">
        <v>1308</v>
      </c>
      <c r="G53" s="15">
        <v>872</v>
      </c>
      <c r="H53" s="2">
        <v>1526</v>
      </c>
      <c r="W53" s="106">
        <v>14000</v>
      </c>
    </row>
    <row r="54" spans="1:23" ht="11.25">
      <c r="A54" s="2">
        <v>53</v>
      </c>
      <c r="C54" s="15">
        <v>16000</v>
      </c>
      <c r="H54" s="2">
        <v>1547</v>
      </c>
      <c r="W54" s="106">
        <v>16000</v>
      </c>
    </row>
    <row r="55" spans="1:23" ht="11.25">
      <c r="A55" s="2">
        <v>54</v>
      </c>
      <c r="C55" s="15">
        <v>18000</v>
      </c>
      <c r="D55" s="105"/>
      <c r="E55" s="106"/>
      <c r="H55" s="2">
        <v>1582</v>
      </c>
      <c r="W55" s="106">
        <v>18000</v>
      </c>
    </row>
    <row r="56" spans="1:23" ht="11.25">
      <c r="A56" s="2">
        <v>55</v>
      </c>
      <c r="C56" s="15">
        <v>20000</v>
      </c>
      <c r="D56" s="105"/>
      <c r="E56" s="106"/>
      <c r="H56" s="2">
        <v>1617</v>
      </c>
      <c r="W56" s="106">
        <v>20000</v>
      </c>
    </row>
    <row r="57" spans="1:23" ht="11.25">
      <c r="A57" s="2">
        <v>56</v>
      </c>
      <c r="C57" s="15">
        <v>24000</v>
      </c>
      <c r="D57" s="105"/>
      <c r="E57" s="106"/>
      <c r="H57" s="2">
        <v>1638</v>
      </c>
      <c r="W57" s="106">
        <v>24000</v>
      </c>
    </row>
    <row r="58" spans="1:23" ht="11.25">
      <c r="A58" s="2">
        <v>57</v>
      </c>
      <c r="C58" s="15">
        <v>28000</v>
      </c>
      <c r="D58" s="105"/>
      <c r="E58" s="106"/>
      <c r="H58" s="2">
        <v>1673</v>
      </c>
      <c r="W58" s="106">
        <v>28000</v>
      </c>
    </row>
    <row r="59" spans="1:23" ht="11.25">
      <c r="A59" s="2">
        <v>58</v>
      </c>
      <c r="B59" s="2">
        <v>1215</v>
      </c>
      <c r="C59" s="15">
        <v>32000</v>
      </c>
      <c r="D59" s="105">
        <v>1458</v>
      </c>
      <c r="E59" s="106">
        <v>972</v>
      </c>
      <c r="F59" s="105">
        <v>1458</v>
      </c>
      <c r="G59" s="106">
        <v>972</v>
      </c>
      <c r="H59" s="2">
        <v>1701</v>
      </c>
      <c r="I59" s="15">
        <v>1215</v>
      </c>
      <c r="W59" s="106">
        <v>32000</v>
      </c>
    </row>
    <row r="60" spans="1:23" ht="11.25">
      <c r="A60" s="2">
        <v>59</v>
      </c>
      <c r="C60" s="15">
        <v>36000</v>
      </c>
      <c r="H60" s="2">
        <v>1729</v>
      </c>
      <c r="W60" s="106">
        <v>36000</v>
      </c>
    </row>
    <row r="61" spans="1:23" ht="11.25">
      <c r="A61" s="6">
        <v>60</v>
      </c>
      <c r="B61" s="6">
        <v>1260</v>
      </c>
      <c r="C61" s="16">
        <v>40000</v>
      </c>
      <c r="D61" s="6">
        <v>1512</v>
      </c>
      <c r="E61" s="16">
        <v>1008</v>
      </c>
      <c r="F61" s="6">
        <v>1512</v>
      </c>
      <c r="G61" s="16">
        <v>1008</v>
      </c>
      <c r="H61" s="6">
        <v>1764</v>
      </c>
      <c r="I61" s="16">
        <v>1260</v>
      </c>
      <c r="J61" s="6"/>
      <c r="K61" s="6"/>
      <c r="L61" s="6"/>
      <c r="M61" s="6"/>
      <c r="N61" s="6"/>
      <c r="O61" s="6"/>
      <c r="P61" s="6"/>
      <c r="Q61" s="16"/>
      <c r="R61" s="6"/>
      <c r="S61" s="6"/>
      <c r="T61" s="6"/>
      <c r="U61" s="6"/>
      <c r="V61" s="6"/>
      <c r="W61" s="144">
        <v>40000</v>
      </c>
    </row>
    <row r="62" spans="1:23" ht="11.25">
      <c r="A62" s="2">
        <v>61</v>
      </c>
      <c r="B62" s="2">
        <v>1580</v>
      </c>
      <c r="C62" s="15">
        <v>44000</v>
      </c>
      <c r="D62" s="2">
        <v>1896</v>
      </c>
      <c r="E62" s="15">
        <v>1264</v>
      </c>
      <c r="F62" s="2">
        <v>1896</v>
      </c>
      <c r="G62" s="15">
        <v>1264</v>
      </c>
      <c r="H62" s="2">
        <v>2212</v>
      </c>
      <c r="I62" s="15">
        <v>1580</v>
      </c>
      <c r="W62" s="106">
        <v>44000</v>
      </c>
    </row>
    <row r="63" spans="1:23" ht="11.25">
      <c r="A63" s="2">
        <v>62</v>
      </c>
      <c r="C63" s="15">
        <v>48000</v>
      </c>
      <c r="H63" s="2">
        <v>2254</v>
      </c>
      <c r="W63" s="106">
        <v>48000</v>
      </c>
    </row>
    <row r="64" spans="1:23" ht="11.25">
      <c r="A64" s="2">
        <v>63</v>
      </c>
      <c r="C64" s="15">
        <v>52000</v>
      </c>
      <c r="H64" s="2">
        <v>2282</v>
      </c>
      <c r="W64" s="106">
        <v>52000</v>
      </c>
    </row>
    <row r="65" spans="1:23" ht="11.25">
      <c r="A65" s="2">
        <v>64</v>
      </c>
      <c r="C65" s="15">
        <v>56000</v>
      </c>
      <c r="H65" s="2">
        <v>2324</v>
      </c>
      <c r="W65" s="106">
        <v>56000</v>
      </c>
    </row>
    <row r="66" spans="1:23" ht="11.25">
      <c r="A66" s="2">
        <v>65</v>
      </c>
      <c r="C66" s="15">
        <v>60000</v>
      </c>
      <c r="H66" s="2">
        <v>2366</v>
      </c>
      <c r="W66" s="106">
        <v>60000</v>
      </c>
    </row>
    <row r="67" spans="1:23" ht="11.25">
      <c r="A67" s="2">
        <v>66</v>
      </c>
      <c r="C67" s="15">
        <v>64000</v>
      </c>
      <c r="H67" s="2">
        <v>2394</v>
      </c>
      <c r="W67" s="106">
        <v>64000</v>
      </c>
    </row>
    <row r="68" spans="1:23" ht="11.25">
      <c r="A68" s="2">
        <v>67</v>
      </c>
      <c r="C68" s="15">
        <v>68000</v>
      </c>
      <c r="D68" s="2">
        <v>2088</v>
      </c>
      <c r="F68" s="2">
        <v>2088</v>
      </c>
      <c r="H68" s="2">
        <v>2436</v>
      </c>
      <c r="W68" s="106">
        <v>68000</v>
      </c>
    </row>
    <row r="69" spans="1:23" ht="11.25">
      <c r="A69" s="2">
        <v>68</v>
      </c>
      <c r="B69" s="2">
        <v>1760</v>
      </c>
      <c r="C69" s="15">
        <v>72000</v>
      </c>
      <c r="D69" s="2">
        <v>2112</v>
      </c>
      <c r="F69" s="2">
        <v>2112</v>
      </c>
      <c r="H69" s="2">
        <v>2464</v>
      </c>
      <c r="I69" s="15">
        <v>1760</v>
      </c>
      <c r="W69" s="106">
        <v>72000</v>
      </c>
    </row>
    <row r="70" spans="1:23" ht="11.25">
      <c r="A70" s="2">
        <v>69</v>
      </c>
      <c r="B70" s="2">
        <v>1790</v>
      </c>
      <c r="C70" s="15">
        <v>76000</v>
      </c>
      <c r="D70" s="2">
        <v>2148</v>
      </c>
      <c r="E70" s="15">
        <v>1432</v>
      </c>
      <c r="F70" s="2">
        <v>2148</v>
      </c>
      <c r="G70" s="15">
        <v>1432</v>
      </c>
      <c r="H70" s="2">
        <v>2506</v>
      </c>
      <c r="I70" s="15">
        <v>1790</v>
      </c>
      <c r="W70" s="106">
        <v>76000</v>
      </c>
    </row>
    <row r="71" spans="1:23" ht="11.25">
      <c r="A71" s="6">
        <v>70</v>
      </c>
      <c r="B71" s="6">
        <v>1820</v>
      </c>
      <c r="C71" s="16">
        <v>80000</v>
      </c>
      <c r="D71" s="6">
        <v>2184</v>
      </c>
      <c r="E71" s="16">
        <v>1456</v>
      </c>
      <c r="F71" s="6">
        <v>2184</v>
      </c>
      <c r="G71" s="16">
        <v>1456</v>
      </c>
      <c r="H71" s="6">
        <v>2548</v>
      </c>
      <c r="I71" s="16">
        <v>1820</v>
      </c>
      <c r="J71" s="6"/>
      <c r="K71" s="6"/>
      <c r="L71" s="6"/>
      <c r="M71" s="6"/>
      <c r="N71" s="6"/>
      <c r="O71" s="6"/>
      <c r="P71" s="6"/>
      <c r="Q71" s="16"/>
      <c r="R71" s="6"/>
      <c r="S71" s="6"/>
      <c r="T71" s="6"/>
      <c r="U71" s="6"/>
      <c r="V71" s="6"/>
      <c r="W71" s="144">
        <v>80000</v>
      </c>
    </row>
    <row r="72" spans="1:23" ht="11.25">
      <c r="A72" s="2">
        <v>71</v>
      </c>
      <c r="B72" s="2">
        <v>2220</v>
      </c>
      <c r="C72" s="15">
        <v>84000</v>
      </c>
      <c r="D72" s="2">
        <v>2664</v>
      </c>
      <c r="E72" s="15">
        <v>1776</v>
      </c>
      <c r="F72" s="2">
        <v>2664</v>
      </c>
      <c r="G72" s="15">
        <v>1776</v>
      </c>
      <c r="H72" s="2">
        <v>3108</v>
      </c>
      <c r="I72" s="15">
        <v>2220</v>
      </c>
      <c r="W72" s="106">
        <v>84000</v>
      </c>
    </row>
    <row r="73" spans="1:23" ht="11.25">
      <c r="A73" s="2">
        <v>72</v>
      </c>
      <c r="B73" s="2">
        <v>2260</v>
      </c>
      <c r="C73" s="15">
        <v>88000</v>
      </c>
      <c r="D73" s="2">
        <v>2712</v>
      </c>
      <c r="E73" s="15">
        <v>1808</v>
      </c>
      <c r="F73" s="2">
        <v>2712</v>
      </c>
      <c r="G73" s="15">
        <v>1808</v>
      </c>
      <c r="H73" s="2">
        <v>3164</v>
      </c>
      <c r="I73" s="15">
        <v>2260</v>
      </c>
      <c r="W73" s="106">
        <v>88000</v>
      </c>
    </row>
    <row r="74" spans="1:23" ht="11.25">
      <c r="A74" s="2">
        <v>73</v>
      </c>
      <c r="B74" s="2">
        <v>2280</v>
      </c>
      <c r="C74" s="15">
        <v>92000</v>
      </c>
      <c r="D74" s="2">
        <v>2736</v>
      </c>
      <c r="E74" s="15">
        <v>1824</v>
      </c>
      <c r="F74" s="2">
        <v>2736</v>
      </c>
      <c r="G74" s="15">
        <v>1824</v>
      </c>
      <c r="H74" s="2">
        <v>3192</v>
      </c>
      <c r="I74" s="15">
        <v>2280</v>
      </c>
      <c r="W74" s="106">
        <v>92000</v>
      </c>
    </row>
    <row r="75" spans="1:23" ht="11.25">
      <c r="A75" s="2">
        <v>74</v>
      </c>
      <c r="B75" s="2">
        <v>2320</v>
      </c>
      <c r="C75" s="15">
        <v>96000</v>
      </c>
      <c r="D75" s="2">
        <v>2784</v>
      </c>
      <c r="E75" s="15">
        <v>1856</v>
      </c>
      <c r="F75" s="2">
        <v>2784</v>
      </c>
      <c r="G75" s="15">
        <v>1856</v>
      </c>
      <c r="H75" s="2">
        <v>3248</v>
      </c>
      <c r="I75" s="15">
        <v>2320</v>
      </c>
      <c r="W75" s="106">
        <v>96000</v>
      </c>
    </row>
    <row r="76" spans="1:23" ht="11.25">
      <c r="A76" s="2">
        <v>75</v>
      </c>
      <c r="B76" s="2">
        <v>2355</v>
      </c>
      <c r="C76" s="15">
        <v>100000</v>
      </c>
      <c r="D76" s="2">
        <v>2826</v>
      </c>
      <c r="E76" s="15">
        <v>1884</v>
      </c>
      <c r="F76" s="2">
        <v>2826</v>
      </c>
      <c r="G76" s="15">
        <v>1884</v>
      </c>
      <c r="H76" s="2">
        <v>3297</v>
      </c>
      <c r="I76" s="15">
        <v>2355</v>
      </c>
      <c r="W76" s="106">
        <v>100000</v>
      </c>
    </row>
    <row r="77" spans="1:23" ht="11.25">
      <c r="A77" s="2">
        <v>76</v>
      </c>
      <c r="B77" s="2">
        <v>2380</v>
      </c>
      <c r="D77" s="2">
        <v>2856</v>
      </c>
      <c r="E77" s="15">
        <v>1904</v>
      </c>
      <c r="F77" s="2">
        <v>2856</v>
      </c>
      <c r="G77" s="15">
        <v>1904</v>
      </c>
      <c r="H77" s="2">
        <v>3332</v>
      </c>
      <c r="I77" s="15">
        <v>2380</v>
      </c>
      <c r="W77" s="106"/>
    </row>
    <row r="78" spans="1:23" ht="11.25">
      <c r="A78" s="2">
        <v>77</v>
      </c>
      <c r="B78" s="2">
        <v>2420</v>
      </c>
      <c r="D78" s="2">
        <v>2904</v>
      </c>
      <c r="E78" s="15">
        <v>1936</v>
      </c>
      <c r="F78" s="2">
        <v>2904</v>
      </c>
      <c r="G78" s="15">
        <v>1936</v>
      </c>
      <c r="H78" s="2">
        <v>3388</v>
      </c>
      <c r="I78" s="15">
        <v>2420</v>
      </c>
      <c r="W78" s="106"/>
    </row>
    <row r="79" spans="1:23" ht="11.25">
      <c r="A79" s="2">
        <v>78</v>
      </c>
      <c r="B79" s="2">
        <v>2440</v>
      </c>
      <c r="D79" s="2">
        <v>2928</v>
      </c>
      <c r="E79" s="15">
        <v>1952</v>
      </c>
      <c r="F79" s="2">
        <v>2928</v>
      </c>
      <c r="G79" s="15">
        <v>1952</v>
      </c>
      <c r="H79" s="2">
        <v>3416</v>
      </c>
      <c r="I79" s="15">
        <v>2440</v>
      </c>
      <c r="W79" s="106"/>
    </row>
    <row r="80" spans="1:23" ht="11.25">
      <c r="A80" s="2">
        <v>79</v>
      </c>
      <c r="B80" s="2">
        <v>2480</v>
      </c>
      <c r="D80" s="2">
        <v>2976</v>
      </c>
      <c r="E80" s="15">
        <v>1984</v>
      </c>
      <c r="F80" s="2">
        <v>2976</v>
      </c>
      <c r="G80" s="15">
        <v>1984</v>
      </c>
      <c r="H80" s="2">
        <v>3472</v>
      </c>
      <c r="I80" s="15">
        <v>2480</v>
      </c>
      <c r="W80" s="106"/>
    </row>
    <row r="81" spans="1:23" ht="11.25">
      <c r="A81" s="6">
        <v>80</v>
      </c>
      <c r="B81" s="6">
        <v>2510</v>
      </c>
      <c r="C81" s="16"/>
      <c r="D81" s="6">
        <v>3012</v>
      </c>
      <c r="E81" s="16">
        <v>2008</v>
      </c>
      <c r="F81" s="6">
        <v>3012</v>
      </c>
      <c r="G81" s="16">
        <v>2008</v>
      </c>
      <c r="H81" s="6">
        <v>3514</v>
      </c>
      <c r="I81" s="16">
        <v>2510</v>
      </c>
      <c r="J81" s="6"/>
      <c r="K81" s="6"/>
      <c r="L81" s="6"/>
      <c r="M81" s="6"/>
      <c r="N81" s="6"/>
      <c r="O81" s="6"/>
      <c r="P81" s="6"/>
      <c r="Q81" s="16"/>
      <c r="R81" s="6"/>
      <c r="S81" s="6"/>
      <c r="T81" s="6"/>
      <c r="U81" s="6"/>
      <c r="V81" s="6"/>
      <c r="W81" s="144"/>
    </row>
    <row r="82" spans="1:23" ht="11.25">
      <c r="A82" s="2">
        <v>81</v>
      </c>
      <c r="B82" s="2">
        <v>3020</v>
      </c>
      <c r="D82" s="2">
        <v>3624</v>
      </c>
      <c r="E82" s="15">
        <v>2416</v>
      </c>
      <c r="F82" s="2">
        <v>3624</v>
      </c>
      <c r="G82" s="15">
        <v>2416</v>
      </c>
      <c r="H82" s="2">
        <v>4228</v>
      </c>
      <c r="I82" s="15">
        <v>3020</v>
      </c>
      <c r="W82" s="106"/>
    </row>
    <row r="83" spans="1:23" ht="11.25">
      <c r="A83" s="2">
        <v>82</v>
      </c>
      <c r="B83" s="2">
        <v>3065</v>
      </c>
      <c r="D83" s="2">
        <v>3678</v>
      </c>
      <c r="E83" s="15">
        <v>2452</v>
      </c>
      <c r="F83" s="2">
        <v>3678</v>
      </c>
      <c r="G83" s="15">
        <v>2452</v>
      </c>
      <c r="H83" s="2">
        <v>4291</v>
      </c>
      <c r="I83" s="15">
        <v>3065</v>
      </c>
      <c r="W83" s="106"/>
    </row>
    <row r="84" spans="1:23" ht="11.25">
      <c r="A84" s="2">
        <v>83</v>
      </c>
      <c r="B84" s="2">
        <v>3095</v>
      </c>
      <c r="D84" s="2">
        <v>3714</v>
      </c>
      <c r="E84" s="15">
        <v>2476</v>
      </c>
      <c r="F84" s="2">
        <v>3714</v>
      </c>
      <c r="G84" s="15">
        <v>2476</v>
      </c>
      <c r="H84" s="2">
        <v>4333</v>
      </c>
      <c r="I84" s="15">
        <v>3095</v>
      </c>
      <c r="W84" s="106"/>
    </row>
    <row r="85" spans="1:23" ht="11.25">
      <c r="A85" s="2">
        <v>84</v>
      </c>
      <c r="B85" s="2">
        <v>3135</v>
      </c>
      <c r="D85" s="2">
        <v>3762</v>
      </c>
      <c r="E85" s="15">
        <v>2508</v>
      </c>
      <c r="F85" s="2">
        <v>3762</v>
      </c>
      <c r="G85" s="15">
        <v>2508</v>
      </c>
      <c r="H85" s="2">
        <v>4389</v>
      </c>
      <c r="I85" s="15">
        <v>3135</v>
      </c>
      <c r="W85" s="106"/>
    </row>
    <row r="86" spans="1:23" ht="11.25">
      <c r="A86" s="2">
        <v>85</v>
      </c>
      <c r="B86" s="2">
        <v>3180</v>
      </c>
      <c r="D86" s="2">
        <v>3816</v>
      </c>
      <c r="E86" s="15">
        <v>2544</v>
      </c>
      <c r="F86" s="2">
        <v>3816</v>
      </c>
      <c r="G86" s="15">
        <v>2544</v>
      </c>
      <c r="H86" s="2">
        <v>4452</v>
      </c>
      <c r="I86" s="15">
        <v>3180</v>
      </c>
      <c r="W86" s="106"/>
    </row>
    <row r="87" spans="1:23" ht="11.25">
      <c r="A87" s="2">
        <v>86</v>
      </c>
      <c r="B87" s="2">
        <v>3210</v>
      </c>
      <c r="D87" s="2">
        <v>3852</v>
      </c>
      <c r="E87" s="15">
        <v>2568</v>
      </c>
      <c r="F87" s="2">
        <v>3852</v>
      </c>
      <c r="G87" s="15">
        <v>2568</v>
      </c>
      <c r="H87" s="2">
        <v>4494</v>
      </c>
      <c r="I87" s="15">
        <v>3210</v>
      </c>
      <c r="W87" s="106"/>
    </row>
    <row r="88" spans="1:23" ht="11.25">
      <c r="A88" s="2">
        <v>87</v>
      </c>
      <c r="B88" s="2">
        <v>3250</v>
      </c>
      <c r="D88" s="2">
        <v>3900</v>
      </c>
      <c r="E88" s="15">
        <v>2600</v>
      </c>
      <c r="F88" s="2">
        <v>3900</v>
      </c>
      <c r="G88" s="15">
        <v>2600</v>
      </c>
      <c r="H88" s="2">
        <v>4550</v>
      </c>
      <c r="I88" s="15">
        <v>3250</v>
      </c>
      <c r="W88" s="106"/>
    </row>
    <row r="89" spans="1:23" ht="11.25">
      <c r="A89" s="2">
        <v>88</v>
      </c>
      <c r="B89" s="2">
        <v>3280</v>
      </c>
      <c r="D89" s="2">
        <v>3936</v>
      </c>
      <c r="E89" s="15">
        <v>2624</v>
      </c>
      <c r="F89" s="2">
        <v>3936</v>
      </c>
      <c r="G89" s="15">
        <v>2624</v>
      </c>
      <c r="H89" s="2">
        <v>4592</v>
      </c>
      <c r="I89" s="15">
        <v>3280</v>
      </c>
      <c r="W89" s="106"/>
    </row>
    <row r="90" spans="1:23" ht="11.25">
      <c r="A90" s="2">
        <v>89</v>
      </c>
      <c r="B90" s="2">
        <v>3320</v>
      </c>
      <c r="D90" s="2">
        <v>3984</v>
      </c>
      <c r="E90" s="15">
        <v>2656</v>
      </c>
      <c r="F90" s="2">
        <v>3984</v>
      </c>
      <c r="G90" s="15">
        <v>2656</v>
      </c>
      <c r="H90" s="2">
        <v>4648</v>
      </c>
      <c r="I90" s="15">
        <v>3320</v>
      </c>
      <c r="W90" s="106"/>
    </row>
    <row r="91" spans="1:23" ht="11.25">
      <c r="A91" s="6">
        <v>90</v>
      </c>
      <c r="B91" s="6">
        <v>3365</v>
      </c>
      <c r="C91" s="16"/>
      <c r="D91" s="6">
        <v>4038</v>
      </c>
      <c r="E91" s="16">
        <v>2692</v>
      </c>
      <c r="F91" s="6">
        <v>4038</v>
      </c>
      <c r="G91" s="16">
        <v>2692</v>
      </c>
      <c r="H91" s="6">
        <v>4711</v>
      </c>
      <c r="I91" s="16">
        <v>3365</v>
      </c>
      <c r="J91" s="6"/>
      <c r="K91" s="6"/>
      <c r="L91" s="6"/>
      <c r="M91" s="6"/>
      <c r="N91" s="6"/>
      <c r="O91" s="6"/>
      <c r="P91" s="6"/>
      <c r="Q91" s="16"/>
      <c r="R91" s="6"/>
      <c r="S91" s="6"/>
      <c r="T91" s="6"/>
      <c r="U91" s="6"/>
      <c r="V91" s="6"/>
      <c r="W91" s="144"/>
    </row>
    <row r="92" spans="1:23" ht="11.25">
      <c r="A92" s="2">
        <v>91</v>
      </c>
      <c r="B92" s="2">
        <v>3500</v>
      </c>
      <c r="D92" s="2">
        <v>4200</v>
      </c>
      <c r="E92" s="15">
        <v>2800</v>
      </c>
      <c r="F92" s="2">
        <v>4200</v>
      </c>
      <c r="G92" s="15">
        <v>2800</v>
      </c>
      <c r="H92" s="2">
        <v>4900</v>
      </c>
      <c r="I92" s="15">
        <v>3500</v>
      </c>
      <c r="W92" s="106"/>
    </row>
    <row r="93" spans="1:23" ht="11.25">
      <c r="A93" s="2">
        <v>92</v>
      </c>
      <c r="B93" s="2">
        <v>3650</v>
      </c>
      <c r="D93" s="2">
        <v>4380</v>
      </c>
      <c r="E93" s="15">
        <v>2920</v>
      </c>
      <c r="F93" s="2">
        <v>4380</v>
      </c>
      <c r="G93" s="15">
        <v>2920</v>
      </c>
      <c r="H93" s="2">
        <v>5110</v>
      </c>
      <c r="I93" s="15">
        <v>3650</v>
      </c>
      <c r="W93" s="106"/>
    </row>
    <row r="94" spans="1:23" ht="11.25">
      <c r="A94" s="2">
        <v>93</v>
      </c>
      <c r="B94" s="2">
        <v>3800</v>
      </c>
      <c r="D94" s="2">
        <v>4560</v>
      </c>
      <c r="E94" s="15">
        <v>3040</v>
      </c>
      <c r="F94" s="2">
        <v>4560</v>
      </c>
      <c r="G94" s="15">
        <v>3040</v>
      </c>
      <c r="H94" s="2">
        <v>5320</v>
      </c>
      <c r="I94" s="15">
        <v>3800</v>
      </c>
      <c r="W94" s="106"/>
    </row>
    <row r="95" spans="1:23" ht="11.25">
      <c r="A95" s="2">
        <v>94</v>
      </c>
      <c r="B95" s="2">
        <v>3950</v>
      </c>
      <c r="D95" s="2">
        <v>4740</v>
      </c>
      <c r="E95" s="15">
        <v>3160</v>
      </c>
      <c r="F95" s="2">
        <v>4740</v>
      </c>
      <c r="G95" s="15">
        <v>3160</v>
      </c>
      <c r="H95" s="2">
        <v>5530</v>
      </c>
      <c r="I95" s="15">
        <v>3950</v>
      </c>
      <c r="W95" s="106"/>
    </row>
    <row r="96" spans="1:23" ht="11.25">
      <c r="A96" s="2">
        <v>95</v>
      </c>
      <c r="B96" s="2">
        <v>4100</v>
      </c>
      <c r="D96" s="2">
        <v>4920</v>
      </c>
      <c r="E96" s="15">
        <v>3280</v>
      </c>
      <c r="F96" s="2">
        <v>4920</v>
      </c>
      <c r="G96" s="15">
        <v>3280</v>
      </c>
      <c r="H96" s="2">
        <v>5740</v>
      </c>
      <c r="I96" s="15">
        <v>4100</v>
      </c>
      <c r="W96" s="106"/>
    </row>
    <row r="97" spans="1:23" ht="11.25">
      <c r="A97" s="2">
        <v>96</v>
      </c>
      <c r="B97" s="2">
        <v>4250</v>
      </c>
      <c r="D97" s="2">
        <v>5100</v>
      </c>
      <c r="E97" s="15">
        <v>3400</v>
      </c>
      <c r="F97" s="2">
        <v>5100</v>
      </c>
      <c r="G97" s="15">
        <v>3400</v>
      </c>
      <c r="H97" s="2">
        <v>5950</v>
      </c>
      <c r="I97" s="15">
        <v>4250</v>
      </c>
      <c r="W97" s="106"/>
    </row>
    <row r="98" spans="1:23" ht="11.25">
      <c r="A98" s="2">
        <v>97</v>
      </c>
      <c r="B98" s="2">
        <v>4400</v>
      </c>
      <c r="D98" s="2">
        <v>5280</v>
      </c>
      <c r="E98" s="15">
        <v>3520</v>
      </c>
      <c r="F98" s="2">
        <v>5280</v>
      </c>
      <c r="G98" s="15">
        <v>3520</v>
      </c>
      <c r="H98" s="2">
        <v>6160</v>
      </c>
      <c r="I98" s="15">
        <v>4400</v>
      </c>
      <c r="W98" s="106"/>
    </row>
    <row r="99" spans="1:23" ht="11.25">
      <c r="A99" s="2">
        <v>98</v>
      </c>
      <c r="B99" s="2">
        <v>4600</v>
      </c>
      <c r="D99" s="2">
        <v>5520</v>
      </c>
      <c r="E99" s="15">
        <v>3680</v>
      </c>
      <c r="F99" s="2">
        <v>5520</v>
      </c>
      <c r="G99" s="15">
        <v>3680</v>
      </c>
      <c r="H99" s="2">
        <v>6440</v>
      </c>
      <c r="I99" s="15">
        <v>4600</v>
      </c>
      <c r="W99" s="106"/>
    </row>
    <row r="100" spans="1:23" ht="11.25">
      <c r="A100" s="2">
        <v>99</v>
      </c>
      <c r="B100" s="2">
        <v>4800</v>
      </c>
      <c r="D100" s="2">
        <v>5760</v>
      </c>
      <c r="E100" s="15">
        <v>3840</v>
      </c>
      <c r="F100" s="2">
        <v>5760</v>
      </c>
      <c r="G100" s="15">
        <v>3840</v>
      </c>
      <c r="H100" s="2">
        <v>6720</v>
      </c>
      <c r="I100" s="15">
        <v>4800</v>
      </c>
      <c r="W100" s="106"/>
    </row>
    <row r="101" spans="1:23" ht="11.25">
      <c r="A101" s="6">
        <v>100</v>
      </c>
      <c r="B101" s="6">
        <v>5000</v>
      </c>
      <c r="C101" s="16"/>
      <c r="D101" s="6">
        <v>6000</v>
      </c>
      <c r="E101" s="16">
        <v>4000</v>
      </c>
      <c r="F101" s="6">
        <v>6000</v>
      </c>
      <c r="G101" s="16">
        <v>4000</v>
      </c>
      <c r="H101" s="6">
        <v>7000</v>
      </c>
      <c r="I101" s="16">
        <v>5000</v>
      </c>
      <c r="J101" s="6"/>
      <c r="K101" s="6"/>
      <c r="L101" s="6"/>
      <c r="M101" s="6"/>
      <c r="N101" s="6"/>
      <c r="O101" s="6"/>
      <c r="P101" s="6"/>
      <c r="Q101" s="16"/>
      <c r="R101" s="6"/>
      <c r="S101" s="6"/>
      <c r="T101" s="6"/>
      <c r="U101" s="6"/>
      <c r="V101" s="6"/>
      <c r="W101" s="144"/>
    </row>
    <row r="102" spans="1:23" ht="11.25">
      <c r="A102" s="2">
        <v>101</v>
      </c>
      <c r="B102" s="2">
        <v>5500</v>
      </c>
      <c r="D102" s="2">
        <v>6600</v>
      </c>
      <c r="E102" s="15">
        <v>4400</v>
      </c>
      <c r="F102" s="2">
        <v>6600</v>
      </c>
      <c r="G102" s="15">
        <v>4400</v>
      </c>
      <c r="H102" s="2">
        <v>7700</v>
      </c>
      <c r="I102" s="15">
        <v>5500</v>
      </c>
      <c r="W102" s="106"/>
    </row>
    <row r="103" spans="1:23" ht="11.25">
      <c r="A103" s="2">
        <v>102</v>
      </c>
      <c r="B103" s="2">
        <v>6000</v>
      </c>
      <c r="D103" s="2">
        <v>7200</v>
      </c>
      <c r="E103" s="15">
        <v>4800</v>
      </c>
      <c r="F103" s="2">
        <v>7200</v>
      </c>
      <c r="G103" s="15">
        <v>4800</v>
      </c>
      <c r="H103" s="2">
        <v>8400</v>
      </c>
      <c r="I103" s="15">
        <v>6000</v>
      </c>
      <c r="W103" s="106"/>
    </row>
    <row r="104" spans="1:23" ht="11.25">
      <c r="A104" s="2">
        <v>103</v>
      </c>
      <c r="B104" s="2">
        <v>6500</v>
      </c>
      <c r="D104" s="2">
        <v>7800</v>
      </c>
      <c r="E104" s="15">
        <v>5200</v>
      </c>
      <c r="F104" s="2">
        <v>7800</v>
      </c>
      <c r="G104" s="15">
        <v>5200</v>
      </c>
      <c r="H104" s="2">
        <v>9100</v>
      </c>
      <c r="I104" s="15">
        <v>6500</v>
      </c>
      <c r="W104" s="106"/>
    </row>
    <row r="105" spans="1:23" ht="11.25">
      <c r="A105" s="2">
        <v>104</v>
      </c>
      <c r="B105" s="2">
        <v>7000</v>
      </c>
      <c r="D105" s="2">
        <v>8400</v>
      </c>
      <c r="E105" s="15">
        <v>5600</v>
      </c>
      <c r="F105" s="2">
        <v>8400</v>
      </c>
      <c r="G105" s="15">
        <v>5600</v>
      </c>
      <c r="H105" s="2">
        <v>9800</v>
      </c>
      <c r="I105" s="15">
        <v>7000</v>
      </c>
      <c r="W105" s="106"/>
    </row>
    <row r="106" spans="1:23" ht="11.25">
      <c r="A106" s="2">
        <v>105</v>
      </c>
      <c r="B106" s="2">
        <v>7500</v>
      </c>
      <c r="D106" s="2">
        <v>9000</v>
      </c>
      <c r="E106" s="15">
        <v>6000</v>
      </c>
      <c r="F106" s="2">
        <v>9000</v>
      </c>
      <c r="G106" s="15">
        <v>6000</v>
      </c>
      <c r="H106" s="2">
        <v>10500</v>
      </c>
      <c r="I106" s="15">
        <v>7500</v>
      </c>
      <c r="W106" s="106"/>
    </row>
    <row r="107" spans="1:23" ht="11.25">
      <c r="A107" s="2">
        <v>106</v>
      </c>
      <c r="B107" s="2">
        <v>8000</v>
      </c>
      <c r="D107" s="2">
        <v>9600</v>
      </c>
      <c r="E107" s="15">
        <v>6400</v>
      </c>
      <c r="F107" s="2">
        <v>9600</v>
      </c>
      <c r="G107" s="15">
        <v>6400</v>
      </c>
      <c r="H107" s="2">
        <v>11200</v>
      </c>
      <c r="I107" s="15">
        <v>8000</v>
      </c>
      <c r="W107" s="106"/>
    </row>
    <row r="108" spans="1:23" ht="11.25">
      <c r="A108" s="2">
        <v>107</v>
      </c>
      <c r="B108" s="2">
        <v>8500</v>
      </c>
      <c r="D108" s="2">
        <v>10200</v>
      </c>
      <c r="E108" s="15">
        <v>6800</v>
      </c>
      <c r="F108" s="2">
        <v>10200</v>
      </c>
      <c r="G108" s="15">
        <v>6800</v>
      </c>
      <c r="H108" s="2">
        <v>11900</v>
      </c>
      <c r="I108" s="15">
        <v>8500</v>
      </c>
      <c r="W108" s="106"/>
    </row>
    <row r="109" spans="1:23" ht="11.25">
      <c r="A109" s="2">
        <v>108</v>
      </c>
      <c r="B109" s="2">
        <v>9000</v>
      </c>
      <c r="D109" s="2">
        <v>10800</v>
      </c>
      <c r="E109" s="15">
        <v>7200</v>
      </c>
      <c r="F109" s="2">
        <v>10800</v>
      </c>
      <c r="G109" s="15">
        <v>7200</v>
      </c>
      <c r="H109" s="2">
        <v>12600</v>
      </c>
      <c r="I109" s="15">
        <v>9000</v>
      </c>
      <c r="W109" s="106"/>
    </row>
    <row r="110" spans="1:23" ht="11.25">
      <c r="A110" s="2">
        <v>109</v>
      </c>
      <c r="B110" s="2">
        <v>9500</v>
      </c>
      <c r="D110" s="2">
        <v>11400</v>
      </c>
      <c r="E110" s="15">
        <v>7600</v>
      </c>
      <c r="F110" s="2">
        <v>11400</v>
      </c>
      <c r="G110" s="15">
        <v>7600</v>
      </c>
      <c r="H110" s="2">
        <v>13300</v>
      </c>
      <c r="I110" s="15">
        <v>9500</v>
      </c>
      <c r="W110" s="106"/>
    </row>
    <row r="111" spans="1:23" ht="11.25">
      <c r="A111" s="6">
        <v>110</v>
      </c>
      <c r="B111" s="6">
        <v>10000</v>
      </c>
      <c r="C111" s="16"/>
      <c r="D111" s="6">
        <v>12000</v>
      </c>
      <c r="E111" s="16">
        <v>8000</v>
      </c>
      <c r="F111" s="6">
        <v>12000</v>
      </c>
      <c r="G111" s="16">
        <v>8000</v>
      </c>
      <c r="H111" s="6">
        <v>14000</v>
      </c>
      <c r="I111" s="16">
        <v>10000</v>
      </c>
      <c r="J111" s="6"/>
      <c r="K111" s="6"/>
      <c r="L111" s="6"/>
      <c r="M111" s="6"/>
      <c r="N111" s="6"/>
      <c r="O111" s="6"/>
      <c r="P111" s="6"/>
      <c r="Q111" s="16"/>
      <c r="R111" s="6"/>
      <c r="S111" s="6"/>
      <c r="T111" s="6"/>
      <c r="U111" s="6"/>
      <c r="V111" s="6"/>
      <c r="W111" s="144"/>
    </row>
    <row r="112" spans="1:23" ht="11.25">
      <c r="A112" s="2">
        <v>111</v>
      </c>
      <c r="B112" s="2">
        <v>11000</v>
      </c>
      <c r="D112" s="2">
        <v>13200</v>
      </c>
      <c r="E112" s="15">
        <v>8800</v>
      </c>
      <c r="F112" s="2">
        <v>13200</v>
      </c>
      <c r="G112" s="15">
        <v>8800</v>
      </c>
      <c r="H112" s="2">
        <v>15400</v>
      </c>
      <c r="I112" s="15">
        <v>11000</v>
      </c>
      <c r="W112" s="106"/>
    </row>
    <row r="113" spans="1:23" ht="11.25">
      <c r="A113" s="2">
        <v>112</v>
      </c>
      <c r="B113" s="2">
        <v>12000</v>
      </c>
      <c r="D113" s="2">
        <v>14400</v>
      </c>
      <c r="E113" s="15">
        <v>9600</v>
      </c>
      <c r="F113" s="2">
        <v>14400</v>
      </c>
      <c r="G113" s="15">
        <v>9600</v>
      </c>
      <c r="H113" s="2">
        <v>16800</v>
      </c>
      <c r="I113" s="15">
        <v>12000</v>
      </c>
      <c r="W113" s="106"/>
    </row>
    <row r="114" spans="1:23" ht="11.25">
      <c r="A114" s="2">
        <v>113</v>
      </c>
      <c r="B114" s="2">
        <v>13000</v>
      </c>
      <c r="D114" s="2">
        <v>15600</v>
      </c>
      <c r="E114" s="15">
        <v>10400</v>
      </c>
      <c r="F114" s="2">
        <v>15600</v>
      </c>
      <c r="G114" s="15">
        <v>10400</v>
      </c>
      <c r="H114" s="2">
        <v>18200</v>
      </c>
      <c r="I114" s="15">
        <v>13000</v>
      </c>
      <c r="W114" s="106"/>
    </row>
    <row r="115" spans="1:23" ht="11.25">
      <c r="A115" s="2">
        <v>114</v>
      </c>
      <c r="B115" s="2">
        <v>14000</v>
      </c>
      <c r="D115" s="2">
        <v>16800</v>
      </c>
      <c r="E115" s="15">
        <v>11200</v>
      </c>
      <c r="F115" s="2">
        <v>16800</v>
      </c>
      <c r="G115" s="15">
        <v>11200</v>
      </c>
      <c r="H115" s="2">
        <v>19600</v>
      </c>
      <c r="I115" s="15">
        <v>14000</v>
      </c>
      <c r="W115" s="106"/>
    </row>
    <row r="116" spans="1:23" ht="11.25">
      <c r="A116" s="2">
        <v>115</v>
      </c>
      <c r="B116" s="2">
        <v>15000</v>
      </c>
      <c r="D116" s="2">
        <v>18000</v>
      </c>
      <c r="E116" s="15">
        <v>12000</v>
      </c>
      <c r="F116" s="2">
        <v>18000</v>
      </c>
      <c r="G116" s="15">
        <v>12000</v>
      </c>
      <c r="H116" s="2">
        <v>21000</v>
      </c>
      <c r="I116" s="15">
        <v>15000</v>
      </c>
      <c r="W116" s="106"/>
    </row>
    <row r="117" spans="1:23" ht="11.25">
      <c r="A117" s="2">
        <v>116</v>
      </c>
      <c r="B117" s="2">
        <v>16000</v>
      </c>
      <c r="D117" s="2">
        <v>19200</v>
      </c>
      <c r="E117" s="15">
        <v>12800</v>
      </c>
      <c r="F117" s="105">
        <v>19200</v>
      </c>
      <c r="G117" s="106">
        <v>12800</v>
      </c>
      <c r="H117" s="2">
        <v>22400</v>
      </c>
      <c r="I117" s="106">
        <v>16000</v>
      </c>
      <c r="W117" s="106"/>
    </row>
    <row r="118" spans="1:23" ht="11.25">
      <c r="A118" s="2">
        <v>117</v>
      </c>
      <c r="B118" s="2">
        <v>17000</v>
      </c>
      <c r="D118" s="2">
        <v>20400</v>
      </c>
      <c r="E118" s="15">
        <v>13600</v>
      </c>
      <c r="F118" s="105">
        <v>20400</v>
      </c>
      <c r="G118" s="106">
        <v>13600</v>
      </c>
      <c r="H118" s="2">
        <v>23800</v>
      </c>
      <c r="I118" s="106">
        <v>17000</v>
      </c>
      <c r="W118" s="106"/>
    </row>
    <row r="119" spans="1:23" ht="11.25">
      <c r="A119" s="2">
        <v>118</v>
      </c>
      <c r="B119" s="2">
        <v>18000</v>
      </c>
      <c r="D119" s="2">
        <v>21600</v>
      </c>
      <c r="E119" s="15">
        <v>14400</v>
      </c>
      <c r="F119" s="105">
        <v>21600</v>
      </c>
      <c r="G119" s="106">
        <v>14400</v>
      </c>
      <c r="H119" s="2">
        <v>25200</v>
      </c>
      <c r="I119" s="106">
        <v>18000</v>
      </c>
      <c r="W119" s="106"/>
    </row>
    <row r="120" spans="1:23" ht="11.25">
      <c r="A120" s="2">
        <v>119</v>
      </c>
      <c r="B120" s="2">
        <v>19000</v>
      </c>
      <c r="D120" s="2">
        <v>22800</v>
      </c>
      <c r="E120" s="15">
        <v>15200</v>
      </c>
      <c r="F120" s="105">
        <v>22800</v>
      </c>
      <c r="G120" s="106">
        <v>15200</v>
      </c>
      <c r="H120" s="2">
        <v>26600</v>
      </c>
      <c r="I120" s="106">
        <v>19000</v>
      </c>
      <c r="W120" s="106"/>
    </row>
    <row r="121" spans="1:23" ht="11.25">
      <c r="A121" s="6">
        <v>120</v>
      </c>
      <c r="B121" s="6">
        <v>20000</v>
      </c>
      <c r="C121" s="16"/>
      <c r="D121" s="6">
        <v>24000</v>
      </c>
      <c r="E121" s="16">
        <v>16000</v>
      </c>
      <c r="F121" s="145">
        <v>24000</v>
      </c>
      <c r="G121" s="144">
        <v>16000</v>
      </c>
      <c r="H121" s="6">
        <v>28000</v>
      </c>
      <c r="I121" s="144">
        <v>20000</v>
      </c>
      <c r="J121" s="6"/>
      <c r="K121" s="6"/>
      <c r="L121" s="6"/>
      <c r="M121" s="6"/>
      <c r="N121" s="6"/>
      <c r="O121" s="6"/>
      <c r="P121" s="6"/>
      <c r="Q121" s="16"/>
      <c r="R121" s="6"/>
      <c r="S121" s="6"/>
      <c r="T121" s="6"/>
      <c r="U121" s="6"/>
      <c r="V121" s="6"/>
      <c r="W121" s="144"/>
    </row>
    <row r="122" spans="1:23" ht="11.25">
      <c r="A122" s="2">
        <v>121</v>
      </c>
      <c r="B122" s="2">
        <v>21000</v>
      </c>
      <c r="D122" s="2">
        <v>25200</v>
      </c>
      <c r="E122" s="15">
        <v>16800</v>
      </c>
      <c r="F122" s="105">
        <v>25200</v>
      </c>
      <c r="G122" s="106">
        <v>16800</v>
      </c>
      <c r="H122" s="2">
        <v>29400</v>
      </c>
      <c r="I122" s="15">
        <v>21000</v>
      </c>
      <c r="W122" s="106"/>
    </row>
    <row r="123" spans="1:23" ht="11.25">
      <c r="A123" s="2">
        <v>122</v>
      </c>
      <c r="B123" s="104">
        <v>22000</v>
      </c>
      <c r="D123" s="2">
        <v>26400</v>
      </c>
      <c r="E123" s="15">
        <v>17600</v>
      </c>
      <c r="F123" s="105">
        <v>26400</v>
      </c>
      <c r="G123" s="106">
        <v>17600</v>
      </c>
      <c r="H123" s="2">
        <v>30800</v>
      </c>
      <c r="I123" s="15">
        <v>22000</v>
      </c>
      <c r="W123" s="106"/>
    </row>
    <row r="124" spans="1:23" ht="11.25">
      <c r="A124" s="105">
        <v>123</v>
      </c>
      <c r="B124" s="104">
        <v>23000</v>
      </c>
      <c r="D124" s="2">
        <v>27600</v>
      </c>
      <c r="E124" s="15">
        <v>18400</v>
      </c>
      <c r="F124" s="105">
        <v>27600</v>
      </c>
      <c r="G124" s="106">
        <v>18400</v>
      </c>
      <c r="H124" s="2">
        <v>32200</v>
      </c>
      <c r="I124" s="15">
        <v>23000</v>
      </c>
      <c r="W124" s="106"/>
    </row>
    <row r="125" spans="1:23" ht="11.25">
      <c r="A125" s="105">
        <v>124</v>
      </c>
      <c r="B125" s="104">
        <v>24000</v>
      </c>
      <c r="D125" s="2">
        <v>28800</v>
      </c>
      <c r="E125" s="15">
        <v>19200</v>
      </c>
      <c r="F125" s="105">
        <v>28800</v>
      </c>
      <c r="G125" s="106">
        <v>19200</v>
      </c>
      <c r="H125" s="2">
        <v>33600</v>
      </c>
      <c r="I125" s="15">
        <v>24000</v>
      </c>
      <c r="W125" s="106"/>
    </row>
    <row r="126" spans="1:23" ht="11.25">
      <c r="A126" s="105">
        <v>125</v>
      </c>
      <c r="B126" s="104">
        <v>25000</v>
      </c>
      <c r="D126" s="2">
        <v>30000</v>
      </c>
      <c r="E126" s="15">
        <v>20000</v>
      </c>
      <c r="F126" s="105">
        <v>30000</v>
      </c>
      <c r="G126" s="106">
        <v>20000</v>
      </c>
      <c r="H126" s="2">
        <v>35000</v>
      </c>
      <c r="I126" s="15">
        <v>25000</v>
      </c>
      <c r="W126" s="106"/>
    </row>
    <row r="127" spans="1:23" ht="11.25">
      <c r="A127" s="105">
        <v>126</v>
      </c>
      <c r="B127" s="104">
        <v>26000</v>
      </c>
      <c r="D127" s="2">
        <v>31200</v>
      </c>
      <c r="E127" s="15">
        <v>20800</v>
      </c>
      <c r="F127" s="105">
        <v>31200</v>
      </c>
      <c r="G127" s="106">
        <v>20800</v>
      </c>
      <c r="H127" s="2">
        <v>36400</v>
      </c>
      <c r="I127" s="15">
        <v>26000</v>
      </c>
      <c r="W127" s="106"/>
    </row>
    <row r="128" spans="1:23" ht="11.25">
      <c r="A128" s="105">
        <v>127</v>
      </c>
      <c r="B128" s="104">
        <v>27000</v>
      </c>
      <c r="D128" s="2">
        <v>32400</v>
      </c>
      <c r="E128" s="15">
        <v>21600</v>
      </c>
      <c r="F128" s="105">
        <v>32400</v>
      </c>
      <c r="G128" s="106">
        <v>21600</v>
      </c>
      <c r="H128" s="2">
        <v>37800</v>
      </c>
      <c r="I128" s="15">
        <v>27000</v>
      </c>
      <c r="W128" s="106"/>
    </row>
    <row r="129" spans="1:23" ht="11.25">
      <c r="A129" s="105">
        <v>128</v>
      </c>
      <c r="B129" s="104">
        <v>28000</v>
      </c>
      <c r="D129" s="2">
        <v>33600</v>
      </c>
      <c r="E129" s="15">
        <v>22400</v>
      </c>
      <c r="F129" s="105">
        <v>33600</v>
      </c>
      <c r="G129" s="106">
        <v>22400</v>
      </c>
      <c r="H129" s="2">
        <v>39200</v>
      </c>
      <c r="I129" s="15">
        <v>28000</v>
      </c>
      <c r="W129" s="106"/>
    </row>
    <row r="130" spans="1:23" ht="11.25">
      <c r="A130" s="105">
        <v>129</v>
      </c>
      <c r="B130" s="104">
        <v>29000</v>
      </c>
      <c r="D130" s="2">
        <v>34800</v>
      </c>
      <c r="E130" s="15">
        <v>23200</v>
      </c>
      <c r="F130" s="105">
        <v>34800</v>
      </c>
      <c r="G130" s="106">
        <v>23200</v>
      </c>
      <c r="H130" s="2">
        <v>40600</v>
      </c>
      <c r="I130" s="15">
        <v>29000</v>
      </c>
      <c r="W130" s="106"/>
    </row>
    <row r="131" spans="1:23" ht="11.25">
      <c r="A131" s="145">
        <v>130</v>
      </c>
      <c r="B131" s="145">
        <v>30000</v>
      </c>
      <c r="C131" s="144"/>
      <c r="D131" s="145">
        <v>36000</v>
      </c>
      <c r="E131" s="144">
        <v>24000</v>
      </c>
      <c r="F131" s="145">
        <v>36000</v>
      </c>
      <c r="G131" s="144">
        <v>24000</v>
      </c>
      <c r="H131" s="145">
        <v>42000</v>
      </c>
      <c r="I131" s="144">
        <v>30000</v>
      </c>
      <c r="J131" s="145"/>
      <c r="K131" s="145"/>
      <c r="L131" s="145"/>
      <c r="M131" s="145"/>
      <c r="N131" s="145"/>
      <c r="O131" s="145"/>
      <c r="P131" s="145"/>
      <c r="Q131" s="144"/>
      <c r="R131" s="145"/>
      <c r="S131" s="145"/>
      <c r="T131" s="145"/>
      <c r="U131" s="145"/>
      <c r="V131" s="145"/>
      <c r="W131" s="144"/>
    </row>
    <row r="132" spans="1:23" ht="11.25">
      <c r="A132" s="2">
        <v>131</v>
      </c>
      <c r="B132" s="20">
        <v>31000</v>
      </c>
      <c r="D132" s="2">
        <v>37200</v>
      </c>
      <c r="E132" s="15">
        <v>24800</v>
      </c>
      <c r="F132" s="105">
        <v>37200</v>
      </c>
      <c r="G132" s="106">
        <v>24800</v>
      </c>
      <c r="H132" s="2">
        <v>43400</v>
      </c>
      <c r="I132" s="15">
        <v>31000</v>
      </c>
      <c r="W132" s="106"/>
    </row>
    <row r="133" spans="1:23" ht="11.25">
      <c r="A133" s="2">
        <v>132</v>
      </c>
      <c r="B133" s="104">
        <v>32000</v>
      </c>
      <c r="D133" s="2">
        <v>38400</v>
      </c>
      <c r="E133" s="15">
        <v>25600</v>
      </c>
      <c r="F133" s="105">
        <v>38400</v>
      </c>
      <c r="G133" s="106">
        <v>25600</v>
      </c>
      <c r="H133" s="2">
        <v>44800</v>
      </c>
      <c r="I133" s="15">
        <v>32000</v>
      </c>
      <c r="W133" s="106"/>
    </row>
    <row r="134" spans="1:23" ht="11.25">
      <c r="A134" s="105">
        <v>133</v>
      </c>
      <c r="B134" s="104">
        <v>33000</v>
      </c>
      <c r="D134" s="2">
        <v>39600</v>
      </c>
      <c r="E134" s="15">
        <v>26400</v>
      </c>
      <c r="F134" s="105">
        <v>39600</v>
      </c>
      <c r="G134" s="106">
        <v>26400</v>
      </c>
      <c r="H134" s="2">
        <v>46200</v>
      </c>
      <c r="I134" s="15">
        <v>33000</v>
      </c>
      <c r="W134" s="106"/>
    </row>
    <row r="135" spans="1:23" ht="11.25">
      <c r="A135" s="105">
        <v>134</v>
      </c>
      <c r="B135" s="104">
        <v>34000</v>
      </c>
      <c r="D135" s="2">
        <v>40800</v>
      </c>
      <c r="E135" s="15">
        <v>27200</v>
      </c>
      <c r="F135" s="105">
        <v>40800</v>
      </c>
      <c r="G135" s="106">
        <v>27200</v>
      </c>
      <c r="H135" s="2">
        <v>47600</v>
      </c>
      <c r="I135" s="15">
        <v>34000</v>
      </c>
      <c r="W135" s="106"/>
    </row>
    <row r="136" spans="1:23" ht="11.25">
      <c r="A136" s="105">
        <v>135</v>
      </c>
      <c r="B136" s="104">
        <v>35000</v>
      </c>
      <c r="D136" s="2">
        <v>42000</v>
      </c>
      <c r="E136" s="15">
        <v>28000</v>
      </c>
      <c r="F136" s="105">
        <v>42000</v>
      </c>
      <c r="G136" s="106">
        <v>28000</v>
      </c>
      <c r="H136" s="2">
        <v>49000</v>
      </c>
      <c r="I136" s="15">
        <v>35000</v>
      </c>
      <c r="W136" s="106"/>
    </row>
    <row r="137" spans="1:23" ht="11.25">
      <c r="A137" s="105">
        <v>136</v>
      </c>
      <c r="B137" s="104">
        <v>36000</v>
      </c>
      <c r="D137" s="2">
        <v>43200</v>
      </c>
      <c r="E137" s="15">
        <v>28800</v>
      </c>
      <c r="F137" s="105">
        <v>43200</v>
      </c>
      <c r="G137" s="106">
        <v>28800</v>
      </c>
      <c r="H137" s="2">
        <v>50400</v>
      </c>
      <c r="I137" s="15">
        <v>36000</v>
      </c>
      <c r="W137" s="106"/>
    </row>
    <row r="138" spans="1:23" ht="11.25">
      <c r="A138" s="105">
        <v>137</v>
      </c>
      <c r="B138" s="104">
        <v>37000</v>
      </c>
      <c r="D138" s="2">
        <v>44400</v>
      </c>
      <c r="E138" s="15">
        <v>29600</v>
      </c>
      <c r="F138" s="105">
        <v>44400</v>
      </c>
      <c r="G138" s="106">
        <v>29600</v>
      </c>
      <c r="H138" s="2">
        <v>51800</v>
      </c>
      <c r="I138" s="15">
        <v>37000</v>
      </c>
      <c r="W138" s="106"/>
    </row>
    <row r="139" spans="1:23" ht="11.25">
      <c r="A139" s="105">
        <v>138</v>
      </c>
      <c r="B139" s="104">
        <v>38000</v>
      </c>
      <c r="D139" s="2">
        <v>45600</v>
      </c>
      <c r="E139" s="15">
        <v>30400</v>
      </c>
      <c r="F139" s="105">
        <v>45600</v>
      </c>
      <c r="G139" s="106">
        <v>30400</v>
      </c>
      <c r="H139" s="2">
        <v>53200</v>
      </c>
      <c r="I139" s="15">
        <v>38000</v>
      </c>
      <c r="W139" s="106"/>
    </row>
    <row r="140" spans="1:23" ht="11.25">
      <c r="A140" s="105">
        <v>139</v>
      </c>
      <c r="B140" s="104">
        <v>39000</v>
      </c>
      <c r="D140" s="2">
        <v>46800</v>
      </c>
      <c r="E140" s="15">
        <v>31200</v>
      </c>
      <c r="F140" s="105">
        <v>46800</v>
      </c>
      <c r="G140" s="106">
        <v>31200</v>
      </c>
      <c r="H140" s="2">
        <v>54600</v>
      </c>
      <c r="I140" s="15">
        <v>39000</v>
      </c>
      <c r="W140" s="106"/>
    </row>
    <row r="141" spans="1:23" ht="11.25">
      <c r="A141" s="145">
        <v>140</v>
      </c>
      <c r="B141" s="145">
        <v>40000</v>
      </c>
      <c r="C141" s="144"/>
      <c r="D141" s="145">
        <v>48000</v>
      </c>
      <c r="E141" s="144">
        <v>32000</v>
      </c>
      <c r="F141" s="145">
        <v>48000</v>
      </c>
      <c r="G141" s="144">
        <v>32000</v>
      </c>
      <c r="H141" s="145">
        <v>56000</v>
      </c>
      <c r="I141" s="144">
        <v>40000</v>
      </c>
      <c r="J141" s="145"/>
      <c r="K141" s="145"/>
      <c r="L141" s="145"/>
      <c r="M141" s="145"/>
      <c r="N141" s="145"/>
      <c r="O141" s="145"/>
      <c r="P141" s="145"/>
      <c r="Q141" s="144"/>
      <c r="R141" s="145"/>
      <c r="S141" s="145"/>
      <c r="T141" s="145"/>
      <c r="U141" s="145"/>
      <c r="V141" s="145"/>
      <c r="W141" s="144"/>
    </row>
    <row r="142" spans="1:23" ht="11.25">
      <c r="A142" s="105">
        <v>141</v>
      </c>
      <c r="B142" s="20">
        <v>41000</v>
      </c>
      <c r="D142" s="2">
        <v>49200</v>
      </c>
      <c r="E142" s="15">
        <v>32800</v>
      </c>
      <c r="F142" s="105">
        <v>49200</v>
      </c>
      <c r="G142" s="106">
        <v>32800</v>
      </c>
      <c r="H142" s="2">
        <v>57400</v>
      </c>
      <c r="I142" s="15">
        <v>41000</v>
      </c>
      <c r="W142" s="106"/>
    </row>
    <row r="143" spans="1:23" ht="11.25">
      <c r="A143" s="105">
        <v>142</v>
      </c>
      <c r="B143" s="104">
        <v>42000</v>
      </c>
      <c r="D143" s="2">
        <v>50400</v>
      </c>
      <c r="E143" s="15">
        <v>33600</v>
      </c>
      <c r="F143" s="105">
        <v>50400</v>
      </c>
      <c r="G143" s="106">
        <v>33600</v>
      </c>
      <c r="H143" s="2">
        <v>58800</v>
      </c>
      <c r="I143" s="15">
        <v>42000</v>
      </c>
      <c r="W143" s="106"/>
    </row>
    <row r="144" spans="1:23" ht="11.25">
      <c r="A144" s="105">
        <v>143</v>
      </c>
      <c r="B144" s="104">
        <v>43000</v>
      </c>
      <c r="D144" s="2">
        <v>51600</v>
      </c>
      <c r="E144" s="15">
        <v>34400</v>
      </c>
      <c r="F144" s="105">
        <v>51600</v>
      </c>
      <c r="G144" s="106">
        <v>34400</v>
      </c>
      <c r="H144" s="2">
        <v>60200</v>
      </c>
      <c r="I144" s="15">
        <v>43000</v>
      </c>
      <c r="W144" s="106"/>
    </row>
    <row r="145" spans="1:23" ht="11.25">
      <c r="A145" s="105">
        <v>144</v>
      </c>
      <c r="B145" s="104">
        <v>44000</v>
      </c>
      <c r="D145" s="2">
        <v>52800</v>
      </c>
      <c r="E145" s="15">
        <v>35200</v>
      </c>
      <c r="F145" s="105">
        <v>52800</v>
      </c>
      <c r="G145" s="106">
        <v>35200</v>
      </c>
      <c r="H145" s="2">
        <v>61600</v>
      </c>
      <c r="I145" s="15">
        <v>44000</v>
      </c>
      <c r="W145" s="106"/>
    </row>
    <row r="146" spans="1:23" ht="11.25">
      <c r="A146" s="105">
        <v>145</v>
      </c>
      <c r="B146" s="104">
        <v>45000</v>
      </c>
      <c r="D146" s="2">
        <v>54000</v>
      </c>
      <c r="E146" s="15">
        <v>36000</v>
      </c>
      <c r="F146" s="105">
        <v>54000</v>
      </c>
      <c r="G146" s="106">
        <v>36000</v>
      </c>
      <c r="H146" s="2">
        <v>63000</v>
      </c>
      <c r="I146" s="15">
        <v>45000</v>
      </c>
      <c r="W146" s="106"/>
    </row>
    <row r="147" spans="1:23" ht="11.25">
      <c r="A147" s="105">
        <v>146</v>
      </c>
      <c r="B147" s="104">
        <v>46000</v>
      </c>
      <c r="D147" s="2">
        <v>55200</v>
      </c>
      <c r="E147" s="15">
        <v>36800</v>
      </c>
      <c r="F147" s="105">
        <v>55200</v>
      </c>
      <c r="G147" s="106">
        <v>36800</v>
      </c>
      <c r="H147" s="2">
        <v>64400</v>
      </c>
      <c r="I147" s="15">
        <v>46000</v>
      </c>
      <c r="W147" s="106"/>
    </row>
    <row r="148" spans="1:23" ht="11.25">
      <c r="A148" s="105">
        <v>147</v>
      </c>
      <c r="B148" s="104">
        <v>47000</v>
      </c>
      <c r="D148" s="2">
        <v>56400</v>
      </c>
      <c r="E148" s="15">
        <v>37600</v>
      </c>
      <c r="F148" s="105">
        <v>56400</v>
      </c>
      <c r="G148" s="106">
        <v>37600</v>
      </c>
      <c r="H148" s="2">
        <v>65800</v>
      </c>
      <c r="I148" s="15">
        <v>47000</v>
      </c>
      <c r="W148" s="106"/>
    </row>
    <row r="149" spans="1:23" ht="11.25">
      <c r="A149" s="105">
        <v>148</v>
      </c>
      <c r="B149" s="104">
        <v>48000</v>
      </c>
      <c r="D149" s="2">
        <v>57600</v>
      </c>
      <c r="E149" s="15">
        <v>38400</v>
      </c>
      <c r="F149" s="105">
        <v>57600</v>
      </c>
      <c r="G149" s="106">
        <v>38400</v>
      </c>
      <c r="H149" s="2">
        <v>67200</v>
      </c>
      <c r="I149" s="15">
        <v>48000</v>
      </c>
      <c r="W149" s="106"/>
    </row>
    <row r="150" spans="1:23" ht="11.25">
      <c r="A150" s="105">
        <v>149</v>
      </c>
      <c r="B150" s="104">
        <v>49000</v>
      </c>
      <c r="D150" s="2">
        <v>58800</v>
      </c>
      <c r="E150" s="15">
        <v>39200</v>
      </c>
      <c r="F150" s="105">
        <v>58800</v>
      </c>
      <c r="G150" s="106">
        <v>39200</v>
      </c>
      <c r="H150" s="2">
        <v>68600</v>
      </c>
      <c r="I150" s="15">
        <v>49000</v>
      </c>
      <c r="W150" s="106"/>
    </row>
    <row r="151" spans="1:23" ht="11.25">
      <c r="A151" s="145">
        <v>150</v>
      </c>
      <c r="B151" s="145">
        <v>50000</v>
      </c>
      <c r="C151" s="144"/>
      <c r="D151" s="145">
        <v>60000</v>
      </c>
      <c r="E151" s="144">
        <v>40000</v>
      </c>
      <c r="F151" s="145">
        <v>60000</v>
      </c>
      <c r="G151" s="144">
        <v>40000</v>
      </c>
      <c r="H151" s="145">
        <v>70000</v>
      </c>
      <c r="I151" s="144">
        <v>50000</v>
      </c>
      <c r="J151" s="145"/>
      <c r="K151" s="145"/>
      <c r="L151" s="145"/>
      <c r="M151" s="145"/>
      <c r="N151" s="145"/>
      <c r="O151" s="145"/>
      <c r="P151" s="145"/>
      <c r="Q151" s="144"/>
      <c r="R151" s="145"/>
      <c r="S151" s="145"/>
      <c r="T151" s="145"/>
      <c r="U151" s="145"/>
      <c r="V151" s="145"/>
      <c r="W151" s="1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16" sqref="Q16"/>
    </sheetView>
  </sheetViews>
  <sheetFormatPr defaultColWidth="11.421875" defaultRowHeight="15"/>
  <cols>
    <col min="1" max="1" width="3.57421875" style="1" bestFit="1" customWidth="1"/>
    <col min="2" max="2" width="9.8515625" style="1" bestFit="1" customWidth="1"/>
    <col min="3" max="3" width="5.8515625" style="2" bestFit="1" customWidth="1"/>
    <col min="4" max="4" width="7.8515625" style="2" bestFit="1" customWidth="1"/>
    <col min="5" max="5" width="6.140625" style="1" customWidth="1"/>
    <col min="6" max="6" width="9.421875" style="2" bestFit="1" customWidth="1"/>
    <col min="7" max="7" width="5.28125" style="2" bestFit="1" customWidth="1"/>
    <col min="8" max="8" width="5.8515625" style="2" bestFit="1" customWidth="1"/>
    <col min="9" max="9" width="15.28125" style="2" bestFit="1" customWidth="1"/>
    <col min="10" max="10" width="11.00390625" style="2" bestFit="1" customWidth="1"/>
    <col min="11" max="11" width="15.8515625" style="2" bestFit="1" customWidth="1"/>
    <col min="12" max="13" width="15.140625" style="2" bestFit="1" customWidth="1"/>
    <col min="14" max="14" width="15.00390625" style="1" bestFit="1" customWidth="1"/>
    <col min="15" max="16" width="3.57421875" style="1" bestFit="1" customWidth="1"/>
    <col min="17" max="17" width="4.421875" style="1" bestFit="1" customWidth="1"/>
    <col min="18" max="16384" width="11.421875" style="1" customWidth="1"/>
  </cols>
  <sheetData>
    <row r="1" spans="2:9" ht="11.25">
      <c r="B1" s="5" t="s">
        <v>160</v>
      </c>
      <c r="C1" s="6"/>
      <c r="D1" s="6" t="s">
        <v>171</v>
      </c>
      <c r="G1" s="6"/>
      <c r="H1" s="6"/>
      <c r="I1" s="6"/>
    </row>
    <row r="2" spans="1:6" ht="11.25">
      <c r="A2" s="1">
        <v>1</v>
      </c>
      <c r="B2" s="1" t="s">
        <v>130</v>
      </c>
      <c r="C2" s="2" t="s">
        <v>626</v>
      </c>
      <c r="D2" s="2" t="s">
        <v>178</v>
      </c>
      <c r="F2" s="7"/>
    </row>
    <row r="3" spans="1:11" ht="11.25">
      <c r="A3" s="1">
        <v>2</v>
      </c>
      <c r="B3" s="1" t="s">
        <v>131</v>
      </c>
      <c r="C3" s="2" t="s">
        <v>627</v>
      </c>
      <c r="D3" s="2" t="s">
        <v>177</v>
      </c>
      <c r="F3" s="36"/>
      <c r="G3" s="36" t="s">
        <v>296</v>
      </c>
      <c r="H3" s="36" t="s">
        <v>676</v>
      </c>
      <c r="J3" s="2">
        <v>0.6</v>
      </c>
      <c r="K3" s="2" t="s">
        <v>5</v>
      </c>
    </row>
    <row r="4" spans="1:11" ht="11.25">
      <c r="A4" s="1">
        <v>3</v>
      </c>
      <c r="B4" s="1" t="s">
        <v>132</v>
      </c>
      <c r="C4" s="2" t="s">
        <v>628</v>
      </c>
      <c r="D4" s="2">
        <v>5</v>
      </c>
      <c r="F4" s="36" t="s">
        <v>25</v>
      </c>
      <c r="G4" s="36">
        <v>942</v>
      </c>
      <c r="H4" s="36">
        <v>243</v>
      </c>
      <c r="J4" s="2">
        <v>0.8</v>
      </c>
      <c r="K4" s="2" t="s">
        <v>12</v>
      </c>
    </row>
    <row r="5" spans="1:11" ht="11.25">
      <c r="A5" s="1">
        <v>4</v>
      </c>
      <c r="B5" s="1" t="s">
        <v>133</v>
      </c>
      <c r="C5" s="2" t="s">
        <v>629</v>
      </c>
      <c r="D5" s="2" t="s">
        <v>179</v>
      </c>
      <c r="F5" s="36" t="s">
        <v>410</v>
      </c>
      <c r="G5" s="36">
        <v>100</v>
      </c>
      <c r="H5" s="36">
        <v>20</v>
      </c>
      <c r="J5" s="2">
        <v>1</v>
      </c>
      <c r="K5" s="2" t="s">
        <v>1</v>
      </c>
    </row>
    <row r="6" spans="1:13" ht="11.25">
      <c r="A6" s="1">
        <v>5</v>
      </c>
      <c r="B6" s="1" t="s">
        <v>134</v>
      </c>
      <c r="C6" s="2" t="s">
        <v>630</v>
      </c>
      <c r="D6" s="2" t="s">
        <v>184</v>
      </c>
      <c r="F6" s="36" t="s">
        <v>411</v>
      </c>
      <c r="G6" s="36">
        <v>120</v>
      </c>
      <c r="H6" s="36">
        <v>35</v>
      </c>
      <c r="J6" s="2">
        <v>1.2</v>
      </c>
      <c r="K6" s="2" t="s">
        <v>922</v>
      </c>
      <c r="L6" s="2" t="s">
        <v>923</v>
      </c>
      <c r="M6" s="2" t="s">
        <v>101</v>
      </c>
    </row>
    <row r="7" spans="1:14" ht="11.25">
      <c r="A7" s="1">
        <v>6</v>
      </c>
      <c r="B7" s="1" t="s">
        <v>135</v>
      </c>
      <c r="C7" s="2" t="s">
        <v>631</v>
      </c>
      <c r="D7" s="2">
        <v>10</v>
      </c>
      <c r="F7" s="36" t="s">
        <v>409</v>
      </c>
      <c r="G7" s="36">
        <f>40+(G5*2)+(G4/5)+((G6*12)/5)</f>
        <v>716.4</v>
      </c>
      <c r="H7" s="36">
        <f>40+(H5*2)+(H4/5)+((H6*12)/5)</f>
        <v>212.6</v>
      </c>
      <c r="J7" s="2">
        <v>1.4</v>
      </c>
      <c r="K7" s="2" t="s">
        <v>924</v>
      </c>
      <c r="L7" s="2" t="s">
        <v>3</v>
      </c>
      <c r="M7" s="2" t="s">
        <v>2</v>
      </c>
      <c r="N7" s="2" t="s">
        <v>930</v>
      </c>
    </row>
    <row r="8" spans="1:11" ht="11.25">
      <c r="A8" s="1">
        <v>7</v>
      </c>
      <c r="B8" s="1" t="s">
        <v>136</v>
      </c>
      <c r="C8" s="2" t="s">
        <v>632</v>
      </c>
      <c r="D8" s="2" t="s">
        <v>180</v>
      </c>
      <c r="F8" s="105" t="s">
        <v>1581</v>
      </c>
      <c r="G8" s="2">
        <f>G7*1.45</f>
        <v>1038.78</v>
      </c>
      <c r="J8" s="2">
        <v>1.5</v>
      </c>
      <c r="K8" s="2" t="s">
        <v>10</v>
      </c>
    </row>
    <row r="9" spans="1:14" ht="11.25">
      <c r="A9" s="1">
        <v>8</v>
      </c>
      <c r="B9" s="1" t="s">
        <v>137</v>
      </c>
      <c r="C9" s="2" t="s">
        <v>633</v>
      </c>
      <c r="D9" s="2" t="s">
        <v>190</v>
      </c>
      <c r="J9" s="2">
        <v>1.6</v>
      </c>
      <c r="K9" s="2" t="s">
        <v>8</v>
      </c>
      <c r="L9" s="2" t="s">
        <v>7</v>
      </c>
      <c r="M9" s="2" t="s">
        <v>9</v>
      </c>
      <c r="N9" s="1" t="s">
        <v>931</v>
      </c>
    </row>
    <row r="10" spans="1:11" ht="11.25">
      <c r="A10" s="1">
        <v>9</v>
      </c>
      <c r="B10" s="1" t="s">
        <v>138</v>
      </c>
      <c r="C10" s="2" t="s">
        <v>634</v>
      </c>
      <c r="D10" s="2">
        <v>15</v>
      </c>
      <c r="J10" s="2">
        <v>1.8</v>
      </c>
      <c r="K10" s="2" t="s">
        <v>11</v>
      </c>
    </row>
    <row r="11" spans="1:13" ht="11.25">
      <c r="A11" s="1">
        <v>10</v>
      </c>
      <c r="B11" s="1" t="s">
        <v>139</v>
      </c>
      <c r="C11" s="2" t="s">
        <v>635</v>
      </c>
      <c r="D11" s="2" t="s">
        <v>212</v>
      </c>
      <c r="J11" s="2">
        <v>2</v>
      </c>
      <c r="K11" s="2" t="s">
        <v>6</v>
      </c>
      <c r="L11" s="2" t="s">
        <v>929</v>
      </c>
      <c r="M11" s="1" t="s">
        <v>932</v>
      </c>
    </row>
    <row r="12" spans="1:13" ht="11.25">
      <c r="A12" s="1">
        <v>11</v>
      </c>
      <c r="B12" s="1" t="s">
        <v>140</v>
      </c>
      <c r="C12" s="2" t="s">
        <v>636</v>
      </c>
      <c r="D12" s="2" t="s">
        <v>224</v>
      </c>
      <c r="J12" s="2">
        <v>2.2</v>
      </c>
      <c r="K12" s="2" t="s">
        <v>925</v>
      </c>
      <c r="L12" s="2" t="s">
        <v>926</v>
      </c>
      <c r="M12" s="2" t="s">
        <v>928</v>
      </c>
    </row>
    <row r="13" spans="1:12" ht="11.25">
      <c r="A13" s="1">
        <v>12</v>
      </c>
      <c r="B13" s="1" t="s">
        <v>141</v>
      </c>
      <c r="C13" s="2" t="s">
        <v>637</v>
      </c>
      <c r="D13" s="2">
        <v>20</v>
      </c>
      <c r="J13" s="2">
        <v>2.4</v>
      </c>
      <c r="K13" s="2" t="s">
        <v>927</v>
      </c>
      <c r="L13" s="2" t="s">
        <v>933</v>
      </c>
    </row>
    <row r="14" spans="1:11" ht="11.25">
      <c r="A14" s="1">
        <v>13</v>
      </c>
      <c r="B14" s="1" t="s">
        <v>142</v>
      </c>
      <c r="C14" s="2" t="s">
        <v>638</v>
      </c>
      <c r="D14" s="2" t="s">
        <v>188</v>
      </c>
      <c r="J14" s="2">
        <v>2.6</v>
      </c>
      <c r="K14" s="1" t="s">
        <v>934</v>
      </c>
    </row>
    <row r="15" spans="1:17" ht="11.25">
      <c r="A15" s="1">
        <v>14</v>
      </c>
      <c r="B15" s="1" t="s">
        <v>143</v>
      </c>
      <c r="C15" s="2" t="s">
        <v>639</v>
      </c>
      <c r="D15" s="2" t="s">
        <v>189</v>
      </c>
      <c r="P15" s="1">
        <v>117</v>
      </c>
      <c r="Q15" s="1">
        <v>1600</v>
      </c>
    </row>
    <row r="16" spans="1:16" ht="11.25">
      <c r="A16" s="1">
        <v>15</v>
      </c>
      <c r="B16" s="1" t="s">
        <v>144</v>
      </c>
      <c r="C16" s="2" t="s">
        <v>640</v>
      </c>
      <c r="D16" s="2">
        <v>25</v>
      </c>
      <c r="P16" s="1">
        <v>1.5</v>
      </c>
    </row>
    <row r="17" spans="1:13" ht="11.25">
      <c r="A17" s="1">
        <v>16</v>
      </c>
      <c r="B17" s="1" t="s">
        <v>145</v>
      </c>
      <c r="C17" s="2" t="s">
        <v>641</v>
      </c>
      <c r="D17" s="2" t="s">
        <v>279</v>
      </c>
      <c r="J17" s="2" t="s">
        <v>957</v>
      </c>
      <c r="K17" s="2" t="s">
        <v>958</v>
      </c>
      <c r="L17" s="2" t="s">
        <v>961</v>
      </c>
      <c r="M17" s="105" t="s">
        <v>1488</v>
      </c>
    </row>
    <row r="18" spans="1:12" ht="11.25">
      <c r="A18" s="1">
        <v>17</v>
      </c>
      <c r="B18" s="1" t="s">
        <v>146</v>
      </c>
      <c r="C18" s="2" t="s">
        <v>642</v>
      </c>
      <c r="D18" s="2" t="s">
        <v>172</v>
      </c>
      <c r="I18" s="2" t="s">
        <v>956</v>
      </c>
      <c r="J18" s="2">
        <v>600</v>
      </c>
      <c r="K18" s="2" t="s">
        <v>959</v>
      </c>
      <c r="L18" s="2" t="s">
        <v>960</v>
      </c>
    </row>
    <row r="19" spans="1:12" ht="11.25">
      <c r="A19" s="1">
        <v>18</v>
      </c>
      <c r="B19" s="1" t="s">
        <v>147</v>
      </c>
      <c r="C19" s="2" t="s">
        <v>643</v>
      </c>
      <c r="D19" s="2">
        <v>30</v>
      </c>
      <c r="I19" s="2" t="s">
        <v>968</v>
      </c>
      <c r="J19" s="2">
        <v>800</v>
      </c>
      <c r="K19" s="2" t="s">
        <v>962</v>
      </c>
      <c r="L19" s="2" t="s">
        <v>963</v>
      </c>
    </row>
    <row r="20" spans="1:12" ht="11.25">
      <c r="A20" s="1">
        <v>19</v>
      </c>
      <c r="B20" s="1" t="s">
        <v>148</v>
      </c>
      <c r="C20" s="2" t="s">
        <v>644</v>
      </c>
      <c r="D20" s="2" t="s">
        <v>280</v>
      </c>
      <c r="I20" s="2" t="s">
        <v>967</v>
      </c>
      <c r="J20" s="2">
        <v>1000</v>
      </c>
      <c r="K20" s="2" t="s">
        <v>964</v>
      </c>
      <c r="L20" s="2" t="s">
        <v>965</v>
      </c>
    </row>
    <row r="21" spans="1:12" ht="11.25">
      <c r="A21" s="1">
        <v>20</v>
      </c>
      <c r="B21" s="1" t="s">
        <v>149</v>
      </c>
      <c r="C21" s="2" t="s">
        <v>645</v>
      </c>
      <c r="D21" s="2" t="s">
        <v>181</v>
      </c>
      <c r="I21" s="2" t="s">
        <v>966</v>
      </c>
      <c r="J21" s="2">
        <v>1200</v>
      </c>
      <c r="K21" s="2" t="s">
        <v>969</v>
      </c>
      <c r="L21" s="2" t="s">
        <v>970</v>
      </c>
    </row>
    <row r="22" spans="1:12" ht="11.25">
      <c r="A22" s="1">
        <v>21</v>
      </c>
      <c r="B22" s="1" t="s">
        <v>150</v>
      </c>
      <c r="C22" s="2" t="s">
        <v>646</v>
      </c>
      <c r="D22" s="2">
        <v>35</v>
      </c>
      <c r="I22" s="2" t="s">
        <v>1077</v>
      </c>
      <c r="J22" s="2">
        <v>1400</v>
      </c>
      <c r="K22" s="2" t="s">
        <v>971</v>
      </c>
      <c r="L22" s="2" t="s">
        <v>973</v>
      </c>
    </row>
    <row r="23" spans="1:17" ht="11.25">
      <c r="A23" s="1">
        <v>22</v>
      </c>
      <c r="B23" s="1" t="s">
        <v>151</v>
      </c>
      <c r="C23" s="2" t="s">
        <v>647</v>
      </c>
      <c r="D23" s="2" t="s">
        <v>185</v>
      </c>
      <c r="I23" s="2" t="s">
        <v>1078</v>
      </c>
      <c r="J23" s="2">
        <v>1600</v>
      </c>
      <c r="K23" s="2" t="s">
        <v>972</v>
      </c>
      <c r="L23" s="2" t="s">
        <v>974</v>
      </c>
      <c r="O23" s="1">
        <v>1</v>
      </c>
      <c r="P23" s="1">
        <v>1</v>
      </c>
      <c r="Q23" s="1">
        <f>(($Q$15*P23)*$P$16)</f>
        <v>2400</v>
      </c>
    </row>
    <row r="24" spans="1:17" ht="11.25">
      <c r="A24" s="1">
        <v>23</v>
      </c>
      <c r="B24" s="1" t="s">
        <v>152</v>
      </c>
      <c r="C24" s="2" t="s">
        <v>648</v>
      </c>
      <c r="D24" s="2" t="s">
        <v>213</v>
      </c>
      <c r="I24" s="2" t="s">
        <v>975</v>
      </c>
      <c r="J24" s="2">
        <v>1800</v>
      </c>
      <c r="K24" s="2" t="s">
        <v>976</v>
      </c>
      <c r="L24" s="2" t="s">
        <v>978</v>
      </c>
      <c r="O24" s="1">
        <v>2</v>
      </c>
      <c r="P24" s="1">
        <v>1</v>
      </c>
      <c r="Q24" s="1">
        <f aca="true" t="shared" si="0" ref="Q24:Q37">(($Q$15*P24)*$P$16)</f>
        <v>2400</v>
      </c>
    </row>
    <row r="25" spans="1:17" ht="11.25">
      <c r="A25" s="1">
        <v>24</v>
      </c>
      <c r="B25" s="1" t="s">
        <v>153</v>
      </c>
      <c r="C25" s="2" t="s">
        <v>649</v>
      </c>
      <c r="D25" s="2">
        <v>40</v>
      </c>
      <c r="I25" s="105" t="s">
        <v>1580</v>
      </c>
      <c r="J25" s="2">
        <v>2000</v>
      </c>
      <c r="K25" s="2" t="s">
        <v>977</v>
      </c>
      <c r="L25" s="2" t="s">
        <v>979</v>
      </c>
      <c r="O25" s="1">
        <v>3</v>
      </c>
      <c r="P25" s="1">
        <v>1</v>
      </c>
      <c r="Q25" s="1">
        <f t="shared" si="0"/>
        <v>2400</v>
      </c>
    </row>
    <row r="26" spans="1:17" ht="11.25">
      <c r="A26" s="1">
        <v>25</v>
      </c>
      <c r="B26" s="1" t="s">
        <v>154</v>
      </c>
      <c r="C26" s="2" t="s">
        <v>650</v>
      </c>
      <c r="D26" s="2" t="s">
        <v>201</v>
      </c>
      <c r="I26" s="105" t="s">
        <v>1463</v>
      </c>
      <c r="J26" s="2">
        <v>2400</v>
      </c>
      <c r="K26" s="2" t="s">
        <v>1080</v>
      </c>
      <c r="L26" s="2" t="s">
        <v>1079</v>
      </c>
      <c r="M26" s="105" t="s">
        <v>1489</v>
      </c>
      <c r="O26" s="1">
        <v>4</v>
      </c>
      <c r="P26" s="1">
        <v>1</v>
      </c>
      <c r="Q26" s="1">
        <f t="shared" si="0"/>
        <v>2400</v>
      </c>
    </row>
    <row r="27" spans="1:17" ht="11.25">
      <c r="A27" s="1">
        <v>26</v>
      </c>
      <c r="B27" s="1" t="s">
        <v>155</v>
      </c>
      <c r="C27" s="2" t="s">
        <v>651</v>
      </c>
      <c r="D27" s="2" t="s">
        <v>278</v>
      </c>
      <c r="I27" s="105" t="s">
        <v>1462</v>
      </c>
      <c r="J27" s="2">
        <v>2600</v>
      </c>
      <c r="K27" s="105" t="s">
        <v>1461</v>
      </c>
      <c r="L27" s="105" t="s">
        <v>1460</v>
      </c>
      <c r="M27" s="105" t="s">
        <v>1490</v>
      </c>
      <c r="O27" s="1">
        <v>5</v>
      </c>
      <c r="P27" s="1">
        <v>1</v>
      </c>
      <c r="Q27" s="1">
        <f t="shared" si="0"/>
        <v>2400</v>
      </c>
    </row>
    <row r="28" spans="1:17" ht="11.25">
      <c r="A28" s="1">
        <v>27</v>
      </c>
      <c r="B28" s="1" t="s">
        <v>156</v>
      </c>
      <c r="C28" s="2" t="s">
        <v>652</v>
      </c>
      <c r="D28" s="2">
        <v>45</v>
      </c>
      <c r="I28" s="105" t="s">
        <v>1613</v>
      </c>
      <c r="J28" s="2">
        <v>2800</v>
      </c>
      <c r="K28" s="105" t="s">
        <v>1441</v>
      </c>
      <c r="L28" s="105" t="s">
        <v>1440</v>
      </c>
      <c r="M28" s="105" t="s">
        <v>1491</v>
      </c>
      <c r="O28" s="1">
        <v>6</v>
      </c>
      <c r="P28" s="1">
        <v>1.1</v>
      </c>
      <c r="Q28" s="1">
        <f t="shared" si="0"/>
        <v>2640.0000000000005</v>
      </c>
    </row>
    <row r="29" spans="1:17" ht="11.25">
      <c r="A29" s="1">
        <v>28</v>
      </c>
      <c r="B29" s="1" t="s">
        <v>157</v>
      </c>
      <c r="C29" s="2" t="s">
        <v>653</v>
      </c>
      <c r="D29" s="2" t="s">
        <v>281</v>
      </c>
      <c r="I29" s="104" t="s">
        <v>1602</v>
      </c>
      <c r="J29" s="105">
        <v>3000</v>
      </c>
      <c r="K29" s="105" t="s">
        <v>1604</v>
      </c>
      <c r="L29" s="105" t="s">
        <v>1603</v>
      </c>
      <c r="M29" s="105" t="s">
        <v>1605</v>
      </c>
      <c r="O29" s="1">
        <v>7</v>
      </c>
      <c r="P29" s="1">
        <v>1.2</v>
      </c>
      <c r="Q29" s="1">
        <f t="shared" si="0"/>
        <v>2880</v>
      </c>
    </row>
    <row r="30" spans="1:17" ht="11.25">
      <c r="A30" s="1">
        <v>29</v>
      </c>
      <c r="B30" s="1" t="s">
        <v>158</v>
      </c>
      <c r="C30" s="2" t="s">
        <v>654</v>
      </c>
      <c r="D30" s="2" t="s">
        <v>282</v>
      </c>
      <c r="I30" s="105" t="s">
        <v>1606</v>
      </c>
      <c r="J30" s="105">
        <v>3200</v>
      </c>
      <c r="K30" s="105" t="s">
        <v>1608</v>
      </c>
      <c r="L30" s="105" t="s">
        <v>1607</v>
      </c>
      <c r="M30" s="105" t="s">
        <v>1609</v>
      </c>
      <c r="O30" s="1">
        <v>8</v>
      </c>
      <c r="P30" s="1">
        <v>1.3</v>
      </c>
      <c r="Q30" s="1">
        <f t="shared" si="0"/>
        <v>3120</v>
      </c>
    </row>
    <row r="31" spans="1:17" ht="11.25">
      <c r="A31" s="1">
        <v>30</v>
      </c>
      <c r="B31" s="1" t="s">
        <v>159</v>
      </c>
      <c r="C31" s="2" t="s">
        <v>655</v>
      </c>
      <c r="D31" s="2">
        <v>50</v>
      </c>
      <c r="I31" s="105" t="s">
        <v>1640</v>
      </c>
      <c r="J31" s="2">
        <v>3400</v>
      </c>
      <c r="K31" s="105" t="s">
        <v>1641</v>
      </c>
      <c r="L31" s="105" t="s">
        <v>1642</v>
      </c>
      <c r="M31" s="105" t="s">
        <v>1643</v>
      </c>
      <c r="O31" s="1">
        <v>9</v>
      </c>
      <c r="P31" s="1">
        <v>1.4</v>
      </c>
      <c r="Q31" s="1">
        <f t="shared" si="0"/>
        <v>3360</v>
      </c>
    </row>
    <row r="32" spans="1:17" ht="11.25">
      <c r="A32" s="1">
        <v>31</v>
      </c>
      <c r="B32" s="1" t="s">
        <v>161</v>
      </c>
      <c r="C32" s="2" t="s">
        <v>656</v>
      </c>
      <c r="D32" s="2" t="s">
        <v>283</v>
      </c>
      <c r="O32" s="1">
        <v>10</v>
      </c>
      <c r="P32" s="1">
        <v>1.5</v>
      </c>
      <c r="Q32" s="1">
        <f t="shared" si="0"/>
        <v>3600</v>
      </c>
    </row>
    <row r="33" spans="1:17" ht="11.25">
      <c r="A33" s="1">
        <v>32</v>
      </c>
      <c r="B33" s="1" t="s">
        <v>162</v>
      </c>
      <c r="C33" s="2" t="s">
        <v>657</v>
      </c>
      <c r="D33" s="2" t="s">
        <v>183</v>
      </c>
      <c r="O33" s="1">
        <v>11</v>
      </c>
      <c r="P33" s="1">
        <v>1.6</v>
      </c>
      <c r="Q33" s="1">
        <f t="shared" si="0"/>
        <v>3840</v>
      </c>
    </row>
    <row r="34" spans="1:17" ht="11.25">
      <c r="A34" s="1">
        <v>33</v>
      </c>
      <c r="B34" s="1" t="s">
        <v>163</v>
      </c>
      <c r="C34" s="2" t="s">
        <v>658</v>
      </c>
      <c r="D34" s="2">
        <v>55</v>
      </c>
      <c r="O34" s="1">
        <v>12</v>
      </c>
      <c r="P34" s="1">
        <v>1.7</v>
      </c>
      <c r="Q34" s="1">
        <f t="shared" si="0"/>
        <v>4080</v>
      </c>
    </row>
    <row r="35" spans="1:17" ht="11.25">
      <c r="A35" s="1">
        <v>34</v>
      </c>
      <c r="B35" s="1" t="s">
        <v>164</v>
      </c>
      <c r="C35" s="2" t="s">
        <v>659</v>
      </c>
      <c r="D35" s="2" t="s">
        <v>374</v>
      </c>
      <c r="O35" s="1">
        <v>13</v>
      </c>
      <c r="P35" s="1">
        <v>1.8</v>
      </c>
      <c r="Q35" s="1">
        <f t="shared" si="0"/>
        <v>4320</v>
      </c>
    </row>
    <row r="36" spans="1:17" ht="11.25">
      <c r="A36" s="1">
        <v>35</v>
      </c>
      <c r="B36" s="1" t="s">
        <v>165</v>
      </c>
      <c r="C36" s="2" t="s">
        <v>660</v>
      </c>
      <c r="D36" s="2" t="s">
        <v>375</v>
      </c>
      <c r="O36" s="1">
        <v>14</v>
      </c>
      <c r="P36" s="1">
        <v>1.9</v>
      </c>
      <c r="Q36" s="1">
        <f t="shared" si="0"/>
        <v>4560</v>
      </c>
    </row>
    <row r="37" spans="1:17" ht="11.25">
      <c r="A37" s="1">
        <v>36</v>
      </c>
      <c r="B37" s="1" t="s">
        <v>166</v>
      </c>
      <c r="C37" s="2" t="s">
        <v>661</v>
      </c>
      <c r="D37" s="2">
        <v>60</v>
      </c>
      <c r="O37" s="1">
        <v>15</v>
      </c>
      <c r="P37" s="1">
        <v>2</v>
      </c>
      <c r="Q37" s="1">
        <f t="shared" si="0"/>
        <v>4800</v>
      </c>
    </row>
    <row r="38" spans="1:4" ht="11.25">
      <c r="A38" s="1">
        <v>37</v>
      </c>
      <c r="B38" s="1" t="s">
        <v>167</v>
      </c>
      <c r="C38" s="2" t="s">
        <v>662</v>
      </c>
      <c r="D38" s="2" t="s">
        <v>376</v>
      </c>
    </row>
    <row r="39" spans="1:4" ht="11.25">
      <c r="A39" s="1">
        <v>38</v>
      </c>
      <c r="B39" s="1" t="s">
        <v>168</v>
      </c>
      <c r="C39" s="2" t="s">
        <v>663</v>
      </c>
      <c r="D39" s="2" t="s">
        <v>377</v>
      </c>
    </row>
    <row r="40" spans="1:4" ht="11.25">
      <c r="A40" s="1">
        <v>39</v>
      </c>
      <c r="B40" s="1" t="s">
        <v>169</v>
      </c>
      <c r="C40" s="2" t="s">
        <v>664</v>
      </c>
      <c r="D40" s="2">
        <v>65</v>
      </c>
    </row>
    <row r="41" spans="1:4" ht="11.25">
      <c r="A41" s="1">
        <v>40</v>
      </c>
      <c r="B41" s="1" t="s">
        <v>170</v>
      </c>
      <c r="C41" s="2" t="s">
        <v>665</v>
      </c>
      <c r="D41" s="2" t="s">
        <v>395</v>
      </c>
    </row>
    <row r="42" spans="1:4" ht="11.25">
      <c r="A42" s="1">
        <v>41</v>
      </c>
      <c r="B42" s="1" t="s">
        <v>202</v>
      </c>
      <c r="C42" s="2" t="s">
        <v>666</v>
      </c>
      <c r="D42" s="2" t="s">
        <v>396</v>
      </c>
    </row>
    <row r="43" spans="1:4" ht="11.25">
      <c r="A43" s="1">
        <v>42</v>
      </c>
      <c r="B43" s="1" t="s">
        <v>203</v>
      </c>
      <c r="C43" s="2" t="s">
        <v>667</v>
      </c>
      <c r="D43" s="2">
        <v>70</v>
      </c>
    </row>
    <row r="44" spans="1:4" ht="11.25">
      <c r="A44" s="1">
        <v>43</v>
      </c>
      <c r="B44" s="1" t="s">
        <v>204</v>
      </c>
      <c r="C44" s="2" t="s">
        <v>668</v>
      </c>
      <c r="D44" s="2" t="s">
        <v>397</v>
      </c>
    </row>
    <row r="45" spans="1:4" ht="11.25">
      <c r="A45" s="1">
        <v>44</v>
      </c>
      <c r="B45" s="1" t="s">
        <v>205</v>
      </c>
      <c r="C45" s="2" t="s">
        <v>669</v>
      </c>
      <c r="D45" s="2" t="s">
        <v>398</v>
      </c>
    </row>
    <row r="46" spans="1:4" ht="11.25">
      <c r="A46" s="1">
        <v>45</v>
      </c>
      <c r="B46" s="1" t="s">
        <v>206</v>
      </c>
      <c r="C46" s="2" t="s">
        <v>670</v>
      </c>
      <c r="D46" s="2">
        <v>75</v>
      </c>
    </row>
    <row r="47" spans="1:4" ht="11.25">
      <c r="A47" s="1">
        <v>46</v>
      </c>
      <c r="B47" s="1" t="s">
        <v>207</v>
      </c>
      <c r="C47" s="2" t="s">
        <v>671</v>
      </c>
      <c r="D47" s="2" t="s">
        <v>405</v>
      </c>
    </row>
    <row r="48" spans="1:4" ht="11.25">
      <c r="A48" s="1">
        <v>47</v>
      </c>
      <c r="B48" s="1" t="s">
        <v>208</v>
      </c>
      <c r="C48" s="2" t="s">
        <v>672</v>
      </c>
      <c r="D48" s="2" t="s">
        <v>406</v>
      </c>
    </row>
    <row r="49" spans="1:4" ht="11.25">
      <c r="A49" s="1">
        <v>48</v>
      </c>
      <c r="B49" s="1" t="s">
        <v>209</v>
      </c>
      <c r="C49" s="2" t="s">
        <v>673</v>
      </c>
      <c r="D49" s="2">
        <v>80</v>
      </c>
    </row>
    <row r="50" spans="1:4" ht="11.25">
      <c r="A50" s="1">
        <v>49</v>
      </c>
      <c r="B50" s="1" t="s">
        <v>210</v>
      </c>
      <c r="C50" s="2" t="s">
        <v>674</v>
      </c>
      <c r="D50" s="2" t="s">
        <v>407</v>
      </c>
    </row>
    <row r="51" spans="1:4" ht="11.25">
      <c r="A51" s="1">
        <v>50</v>
      </c>
      <c r="B51" s="1" t="s">
        <v>211</v>
      </c>
      <c r="C51" s="2" t="s">
        <v>675</v>
      </c>
      <c r="D51" s="2" t="s">
        <v>408</v>
      </c>
    </row>
    <row r="52" spans="1:4" ht="11.25">
      <c r="A52" s="1">
        <v>51</v>
      </c>
      <c r="B52" s="1" t="s">
        <v>191</v>
      </c>
      <c r="C52" s="2" t="s">
        <v>1014</v>
      </c>
      <c r="D52" s="2">
        <v>85</v>
      </c>
    </row>
    <row r="53" spans="1:4" ht="11.25">
      <c r="A53" s="1">
        <v>52</v>
      </c>
      <c r="B53" s="1" t="s">
        <v>192</v>
      </c>
      <c r="C53" s="2" t="s">
        <v>1015</v>
      </c>
      <c r="D53" s="2" t="s">
        <v>1333</v>
      </c>
    </row>
    <row r="54" spans="1:4" ht="11.25">
      <c r="A54" s="1">
        <v>53</v>
      </c>
      <c r="B54" s="1" t="s">
        <v>193</v>
      </c>
      <c r="C54" s="2" t="s">
        <v>1016</v>
      </c>
      <c r="D54" s="2" t="s">
        <v>1334</v>
      </c>
    </row>
    <row r="55" spans="1:4" ht="11.25">
      <c r="A55" s="1">
        <v>54</v>
      </c>
      <c r="B55" s="1" t="s">
        <v>194</v>
      </c>
      <c r="C55" s="2" t="s">
        <v>1017</v>
      </c>
      <c r="D55" s="2">
        <v>90</v>
      </c>
    </row>
    <row r="56" spans="1:4" ht="11.25">
      <c r="A56" s="1">
        <v>55</v>
      </c>
      <c r="B56" s="1" t="s">
        <v>195</v>
      </c>
      <c r="C56" s="2" t="s">
        <v>1018</v>
      </c>
      <c r="D56" s="2" t="s">
        <v>1335</v>
      </c>
    </row>
    <row r="57" spans="1:4" ht="11.25">
      <c r="A57" s="1">
        <v>56</v>
      </c>
      <c r="B57" s="1" t="s">
        <v>196</v>
      </c>
      <c r="C57" s="2" t="s">
        <v>1019</v>
      </c>
      <c r="D57" s="2" t="s">
        <v>1336</v>
      </c>
    </row>
    <row r="58" spans="1:4" ht="11.25">
      <c r="A58" s="1">
        <v>57</v>
      </c>
      <c r="B58" s="1" t="s">
        <v>197</v>
      </c>
      <c r="C58" s="2" t="s">
        <v>1020</v>
      </c>
      <c r="D58" s="2">
        <v>95</v>
      </c>
    </row>
    <row r="59" spans="1:4" ht="11.25">
      <c r="A59" s="1">
        <v>58</v>
      </c>
      <c r="B59" s="1" t="s">
        <v>198</v>
      </c>
      <c r="C59" s="2" t="s">
        <v>1021</v>
      </c>
      <c r="D59" s="2" t="s">
        <v>1337</v>
      </c>
    </row>
    <row r="60" spans="1:4" ht="11.25">
      <c r="A60" s="1">
        <v>59</v>
      </c>
      <c r="B60" s="1" t="s">
        <v>199</v>
      </c>
      <c r="C60" s="2" t="s">
        <v>1022</v>
      </c>
      <c r="D60" s="2" t="s">
        <v>1338</v>
      </c>
    </row>
    <row r="61" spans="1:4" ht="11.25">
      <c r="A61" s="1">
        <v>60</v>
      </c>
      <c r="B61" s="1" t="s">
        <v>200</v>
      </c>
      <c r="C61" s="2" t="s">
        <v>1023</v>
      </c>
      <c r="D61" s="2">
        <v>100</v>
      </c>
    </row>
    <row r="62" spans="1:3" ht="11.25">
      <c r="A62" s="1">
        <v>61</v>
      </c>
      <c r="B62" s="1" t="s">
        <v>285</v>
      </c>
      <c r="C62" s="2" t="s">
        <v>1024</v>
      </c>
    </row>
    <row r="63" spans="1:3" ht="11.25">
      <c r="A63" s="1">
        <v>62</v>
      </c>
      <c r="B63" s="1" t="s">
        <v>286</v>
      </c>
      <c r="C63" s="2" t="s">
        <v>1025</v>
      </c>
    </row>
    <row r="64" spans="1:3" ht="11.25">
      <c r="A64" s="1">
        <v>63</v>
      </c>
      <c r="B64" s="1" t="s">
        <v>287</v>
      </c>
      <c r="C64" s="2" t="s">
        <v>1026</v>
      </c>
    </row>
    <row r="65" spans="1:3" ht="11.25">
      <c r="A65" s="1">
        <v>64</v>
      </c>
      <c r="B65" s="1" t="s">
        <v>288</v>
      </c>
      <c r="C65" s="2" t="s">
        <v>1027</v>
      </c>
    </row>
    <row r="66" spans="1:3" ht="11.25">
      <c r="A66" s="1">
        <v>65</v>
      </c>
      <c r="B66" s="1" t="s">
        <v>289</v>
      </c>
      <c r="C66" s="2" t="s">
        <v>1028</v>
      </c>
    </row>
    <row r="67" spans="1:3" ht="11.25">
      <c r="A67" s="1">
        <v>66</v>
      </c>
      <c r="B67" s="1" t="s">
        <v>290</v>
      </c>
      <c r="C67" s="2" t="s">
        <v>1029</v>
      </c>
    </row>
    <row r="68" spans="1:3" ht="11.25">
      <c r="A68" s="1">
        <v>67</v>
      </c>
      <c r="B68" s="1" t="s">
        <v>291</v>
      </c>
      <c r="C68" s="2" t="s">
        <v>1030</v>
      </c>
    </row>
    <row r="69" spans="1:3" ht="11.25">
      <c r="A69" s="1">
        <v>68</v>
      </c>
      <c r="B69" s="1" t="s">
        <v>292</v>
      </c>
      <c r="C69" s="2" t="s">
        <v>1031</v>
      </c>
    </row>
    <row r="70" spans="1:3" ht="11.25">
      <c r="A70" s="1">
        <v>69</v>
      </c>
      <c r="B70" s="1" t="s">
        <v>293</v>
      </c>
      <c r="C70" s="2" t="s">
        <v>1032</v>
      </c>
    </row>
    <row r="71" spans="1:3" ht="11.25">
      <c r="A71" s="1">
        <v>70</v>
      </c>
      <c r="B71" s="1" t="s">
        <v>294</v>
      </c>
      <c r="C71" s="2" t="s">
        <v>1033</v>
      </c>
    </row>
    <row r="72" spans="1:3" ht="11.25">
      <c r="A72" s="1">
        <v>71</v>
      </c>
      <c r="B72" s="1" t="s">
        <v>214</v>
      </c>
      <c r="C72" s="2" t="s">
        <v>1034</v>
      </c>
    </row>
    <row r="73" spans="1:3" ht="11.25">
      <c r="A73" s="1">
        <v>72</v>
      </c>
      <c r="B73" s="1" t="s">
        <v>215</v>
      </c>
      <c r="C73" s="2" t="s">
        <v>1035</v>
      </c>
    </row>
    <row r="74" spans="1:3" ht="11.25">
      <c r="A74" s="1">
        <v>73</v>
      </c>
      <c r="B74" s="1" t="s">
        <v>216</v>
      </c>
      <c r="C74" s="2" t="s">
        <v>1036</v>
      </c>
    </row>
    <row r="75" spans="1:3" ht="11.25">
      <c r="A75" s="1">
        <v>74</v>
      </c>
      <c r="B75" s="1" t="s">
        <v>217</v>
      </c>
      <c r="C75" s="2" t="s">
        <v>1037</v>
      </c>
    </row>
    <row r="76" spans="1:3" ht="11.25">
      <c r="A76" s="1">
        <v>75</v>
      </c>
      <c r="B76" s="1" t="s">
        <v>218</v>
      </c>
      <c r="C76" s="2" t="s">
        <v>1038</v>
      </c>
    </row>
    <row r="77" spans="1:3" ht="11.25">
      <c r="A77" s="1">
        <v>76</v>
      </c>
      <c r="B77" s="1" t="s">
        <v>219</v>
      </c>
      <c r="C77" s="2" t="s">
        <v>1039</v>
      </c>
    </row>
    <row r="78" spans="1:3" ht="11.25">
      <c r="A78" s="1">
        <v>77</v>
      </c>
      <c r="B78" s="1" t="s">
        <v>220</v>
      </c>
      <c r="C78" s="2" t="s">
        <v>1040</v>
      </c>
    </row>
    <row r="79" spans="1:3" ht="11.25">
      <c r="A79" s="1">
        <v>78</v>
      </c>
      <c r="B79" s="1" t="s">
        <v>221</v>
      </c>
      <c r="C79" s="2" t="s">
        <v>1041</v>
      </c>
    </row>
    <row r="80" spans="1:3" ht="11.25">
      <c r="A80" s="1">
        <v>79</v>
      </c>
      <c r="B80" s="1" t="s">
        <v>222</v>
      </c>
      <c r="C80" s="2" t="s">
        <v>1042</v>
      </c>
    </row>
    <row r="81" spans="1:3" ht="11.25">
      <c r="A81" s="1">
        <v>80</v>
      </c>
      <c r="B81" s="1" t="s">
        <v>223</v>
      </c>
      <c r="C81" s="2" t="s">
        <v>1043</v>
      </c>
    </row>
    <row r="82" spans="1:3" ht="11.25">
      <c r="A82" s="1">
        <v>81</v>
      </c>
      <c r="B82" s="1" t="s">
        <v>381</v>
      </c>
      <c r="C82" s="2" t="s">
        <v>1047</v>
      </c>
    </row>
    <row r="83" spans="1:3" ht="11.25">
      <c r="A83" s="1">
        <v>82</v>
      </c>
      <c r="B83" s="1" t="s">
        <v>382</v>
      </c>
      <c r="C83" s="2" t="s">
        <v>1048</v>
      </c>
    </row>
    <row r="84" spans="1:3" ht="11.25">
      <c r="A84" s="1">
        <v>83</v>
      </c>
      <c r="B84" s="1" t="s">
        <v>383</v>
      </c>
      <c r="C84" s="2" t="s">
        <v>1049</v>
      </c>
    </row>
    <row r="85" spans="1:3" ht="11.25">
      <c r="A85" s="1">
        <v>84</v>
      </c>
      <c r="B85" s="1" t="s">
        <v>384</v>
      </c>
      <c r="C85" s="2" t="s">
        <v>1050</v>
      </c>
    </row>
    <row r="86" spans="1:3" ht="11.25">
      <c r="A86" s="1">
        <v>85</v>
      </c>
      <c r="B86" s="1" t="s">
        <v>385</v>
      </c>
      <c r="C86" s="2" t="s">
        <v>1051</v>
      </c>
    </row>
    <row r="87" spans="1:3" ht="11.25">
      <c r="A87" s="1">
        <v>86</v>
      </c>
      <c r="B87" s="1" t="s">
        <v>386</v>
      </c>
      <c r="C87" s="2" t="s">
        <v>1052</v>
      </c>
    </row>
    <row r="88" spans="1:3" ht="11.25">
      <c r="A88" s="1">
        <v>87</v>
      </c>
      <c r="B88" s="1" t="s">
        <v>387</v>
      </c>
      <c r="C88" s="2" t="s">
        <v>1053</v>
      </c>
    </row>
    <row r="89" spans="1:3" ht="11.25">
      <c r="A89" s="1">
        <v>88</v>
      </c>
      <c r="B89" s="1" t="s">
        <v>388</v>
      </c>
      <c r="C89" s="2" t="s">
        <v>1054</v>
      </c>
    </row>
    <row r="90" spans="1:3" ht="11.25">
      <c r="A90" s="1">
        <v>89</v>
      </c>
      <c r="B90" s="1" t="s">
        <v>389</v>
      </c>
      <c r="C90" s="2" t="s">
        <v>1055</v>
      </c>
    </row>
    <row r="91" spans="1:3" ht="11.25">
      <c r="A91" s="1">
        <v>90</v>
      </c>
      <c r="B91" s="1" t="s">
        <v>390</v>
      </c>
      <c r="C91" s="2" t="s">
        <v>1056</v>
      </c>
    </row>
    <row r="92" spans="1:3" ht="11.25">
      <c r="A92" s="1">
        <v>91</v>
      </c>
      <c r="B92" s="1" t="s">
        <v>525</v>
      </c>
      <c r="C92" s="2" t="s">
        <v>1057</v>
      </c>
    </row>
    <row r="93" spans="1:3" ht="11.25">
      <c r="A93" s="1">
        <v>92</v>
      </c>
      <c r="B93" s="1" t="s">
        <v>526</v>
      </c>
      <c r="C93" s="2" t="s">
        <v>1058</v>
      </c>
    </row>
    <row r="94" spans="1:3" ht="11.25">
      <c r="A94" s="1">
        <v>93</v>
      </c>
      <c r="B94" s="1" t="s">
        <v>527</v>
      </c>
      <c r="C94" s="2" t="s">
        <v>1059</v>
      </c>
    </row>
    <row r="95" spans="1:3" ht="11.25">
      <c r="A95" s="1">
        <v>94</v>
      </c>
      <c r="B95" s="1" t="s">
        <v>528</v>
      </c>
      <c r="C95" s="2" t="s">
        <v>1060</v>
      </c>
    </row>
    <row r="96" spans="1:3" ht="11.25">
      <c r="A96" s="1">
        <v>95</v>
      </c>
      <c r="B96" s="1" t="s">
        <v>529</v>
      </c>
      <c r="C96" s="2" t="s">
        <v>1061</v>
      </c>
    </row>
    <row r="97" spans="1:3" ht="11.25">
      <c r="A97" s="1">
        <v>96</v>
      </c>
      <c r="B97" s="1" t="s">
        <v>530</v>
      </c>
      <c r="C97" s="2" t="s">
        <v>1062</v>
      </c>
    </row>
    <row r="98" spans="1:3" ht="11.25">
      <c r="A98" s="1">
        <v>97</v>
      </c>
      <c r="B98" s="1" t="s">
        <v>531</v>
      </c>
      <c r="C98" s="2" t="s">
        <v>1063</v>
      </c>
    </row>
    <row r="99" spans="1:3" ht="11.25">
      <c r="A99" s="1">
        <v>98</v>
      </c>
      <c r="B99" s="1" t="s">
        <v>532</v>
      </c>
      <c r="C99" s="2" t="s">
        <v>1064</v>
      </c>
    </row>
    <row r="100" spans="1:3" ht="11.25">
      <c r="A100" s="1">
        <v>99</v>
      </c>
      <c r="B100" s="1" t="s">
        <v>533</v>
      </c>
      <c r="C100" s="2" t="s">
        <v>1065</v>
      </c>
    </row>
    <row r="101" spans="1:3" ht="11.25">
      <c r="A101" s="1">
        <v>100</v>
      </c>
      <c r="B101" s="1" t="s">
        <v>534</v>
      </c>
      <c r="C101" s="2" t="s">
        <v>1066</v>
      </c>
    </row>
    <row r="102" spans="1:3" ht="11.25">
      <c r="A102" s="1">
        <v>101</v>
      </c>
      <c r="B102" s="1" t="s">
        <v>413</v>
      </c>
      <c r="C102" s="2" t="s">
        <v>1090</v>
      </c>
    </row>
    <row r="103" spans="1:3" ht="11.25">
      <c r="A103" s="1">
        <v>102</v>
      </c>
      <c r="B103" s="1" t="s">
        <v>414</v>
      </c>
      <c r="C103" s="2" t="s">
        <v>1091</v>
      </c>
    </row>
    <row r="104" spans="1:3" ht="11.25">
      <c r="A104" s="1">
        <v>103</v>
      </c>
      <c r="B104" s="1" t="s">
        <v>415</v>
      </c>
      <c r="C104" s="2" t="s">
        <v>1092</v>
      </c>
    </row>
    <row r="105" spans="1:3" ht="11.25">
      <c r="A105" s="1">
        <v>104</v>
      </c>
      <c r="B105" s="1" t="s">
        <v>416</v>
      </c>
      <c r="C105" s="2" t="s">
        <v>1093</v>
      </c>
    </row>
    <row r="106" spans="1:3" ht="11.25">
      <c r="A106" s="1">
        <v>105</v>
      </c>
      <c r="B106" s="1" t="s">
        <v>417</v>
      </c>
      <c r="C106" s="2" t="s">
        <v>1094</v>
      </c>
    </row>
    <row r="107" spans="1:3" ht="11.25">
      <c r="A107" s="1">
        <v>106</v>
      </c>
      <c r="B107" s="1" t="s">
        <v>418</v>
      </c>
      <c r="C107" s="2" t="s">
        <v>1095</v>
      </c>
    </row>
    <row r="108" spans="1:3" ht="11.25">
      <c r="A108" s="1">
        <v>107</v>
      </c>
      <c r="B108" s="1" t="s">
        <v>419</v>
      </c>
      <c r="C108" s="2" t="s">
        <v>1096</v>
      </c>
    </row>
    <row r="109" spans="1:3" ht="11.25">
      <c r="A109" s="1">
        <v>108</v>
      </c>
      <c r="B109" s="1" t="s">
        <v>420</v>
      </c>
      <c r="C109" s="2" t="s">
        <v>1097</v>
      </c>
    </row>
    <row r="110" spans="1:3" ht="11.25">
      <c r="A110" s="1">
        <v>109</v>
      </c>
      <c r="B110" s="1" t="s">
        <v>421</v>
      </c>
      <c r="C110" s="2" t="s">
        <v>1098</v>
      </c>
    </row>
    <row r="111" spans="1:3" ht="11.25">
      <c r="A111" s="1">
        <v>110</v>
      </c>
      <c r="B111" s="1" t="s">
        <v>422</v>
      </c>
      <c r="C111" s="2" t="s">
        <v>1099</v>
      </c>
    </row>
    <row r="112" spans="1:3" ht="11.25">
      <c r="A112" s="1">
        <v>111</v>
      </c>
      <c r="B112" s="1" t="s">
        <v>535</v>
      </c>
      <c r="C112" s="2" t="s">
        <v>1100</v>
      </c>
    </row>
    <row r="113" spans="1:3" ht="11.25">
      <c r="A113" s="1">
        <v>112</v>
      </c>
      <c r="B113" s="1" t="s">
        <v>536</v>
      </c>
      <c r="C113" s="2" t="s">
        <v>1101</v>
      </c>
    </row>
    <row r="114" spans="1:3" ht="11.25">
      <c r="A114" s="1">
        <v>113</v>
      </c>
      <c r="B114" s="1" t="s">
        <v>537</v>
      </c>
      <c r="C114" s="2" t="s">
        <v>1102</v>
      </c>
    </row>
    <row r="115" spans="1:3" ht="11.25">
      <c r="A115" s="1">
        <v>114</v>
      </c>
      <c r="B115" s="1" t="s">
        <v>538</v>
      </c>
      <c r="C115" s="2" t="s">
        <v>1103</v>
      </c>
    </row>
    <row r="116" spans="1:3" ht="11.25">
      <c r="A116" s="1">
        <v>115</v>
      </c>
      <c r="B116" s="1" t="s">
        <v>539</v>
      </c>
      <c r="C116" s="2" t="s">
        <v>1104</v>
      </c>
    </row>
    <row r="117" spans="1:3" ht="11.25">
      <c r="A117" s="1">
        <v>116</v>
      </c>
      <c r="B117" s="1" t="s">
        <v>540</v>
      </c>
      <c r="C117" s="2" t="s">
        <v>1105</v>
      </c>
    </row>
    <row r="118" spans="1:3" ht="11.25">
      <c r="A118" s="1">
        <v>117</v>
      </c>
      <c r="B118" s="1" t="s">
        <v>541</v>
      </c>
      <c r="C118" s="2" t="s">
        <v>1106</v>
      </c>
    </row>
    <row r="119" spans="1:3" ht="11.25">
      <c r="A119" s="1">
        <v>118</v>
      </c>
      <c r="B119" s="1" t="s">
        <v>542</v>
      </c>
      <c r="C119" s="2" t="s">
        <v>1107</v>
      </c>
    </row>
    <row r="120" spans="1:3" ht="11.25">
      <c r="A120" s="1">
        <v>119</v>
      </c>
      <c r="B120" s="1" t="s">
        <v>543</v>
      </c>
      <c r="C120" s="2" t="s">
        <v>1108</v>
      </c>
    </row>
    <row r="121" spans="1:3" ht="11.25">
      <c r="A121" s="1">
        <v>120</v>
      </c>
      <c r="B121" s="1" t="s">
        <v>544</v>
      </c>
      <c r="C121" s="2" t="s">
        <v>1109</v>
      </c>
    </row>
    <row r="122" spans="1:3" ht="11.25">
      <c r="A122" s="1">
        <v>121</v>
      </c>
      <c r="B122" s="1" t="s">
        <v>545</v>
      </c>
      <c r="C122" s="2" t="s">
        <v>1110</v>
      </c>
    </row>
    <row r="123" spans="1:3" ht="11.25">
      <c r="A123" s="1">
        <v>122</v>
      </c>
      <c r="B123" s="1" t="s">
        <v>546</v>
      </c>
      <c r="C123" s="2" t="s">
        <v>1111</v>
      </c>
    </row>
    <row r="124" spans="1:3" ht="11.25">
      <c r="A124" s="1">
        <v>123</v>
      </c>
      <c r="B124" s="1" t="s">
        <v>547</v>
      </c>
      <c r="C124" s="2" t="s">
        <v>1112</v>
      </c>
    </row>
    <row r="125" spans="1:3" ht="11.25">
      <c r="A125" s="1">
        <v>124</v>
      </c>
      <c r="B125" s="1" t="s">
        <v>548</v>
      </c>
      <c r="C125" s="2" t="s">
        <v>1113</v>
      </c>
    </row>
    <row r="126" spans="1:3" ht="11.25">
      <c r="A126" s="1">
        <v>125</v>
      </c>
      <c r="B126" s="1" t="s">
        <v>549</v>
      </c>
      <c r="C126" s="2" t="s">
        <v>1114</v>
      </c>
    </row>
    <row r="127" spans="1:3" ht="11.25">
      <c r="A127" s="1">
        <v>126</v>
      </c>
      <c r="B127" s="1" t="s">
        <v>550</v>
      </c>
      <c r="C127" s="2" t="s">
        <v>1115</v>
      </c>
    </row>
    <row r="128" spans="1:3" ht="11.25">
      <c r="A128" s="1">
        <v>127</v>
      </c>
      <c r="B128" s="1" t="s">
        <v>551</v>
      </c>
      <c r="C128" s="2" t="s">
        <v>1116</v>
      </c>
    </row>
    <row r="129" spans="1:3" ht="11.25">
      <c r="A129" s="1">
        <v>128</v>
      </c>
      <c r="B129" s="1" t="s">
        <v>552</v>
      </c>
      <c r="C129" s="2" t="s">
        <v>1117</v>
      </c>
    </row>
    <row r="130" spans="1:3" ht="11.25">
      <c r="A130" s="1">
        <v>129</v>
      </c>
      <c r="B130" s="1" t="s">
        <v>553</v>
      </c>
      <c r="C130" s="2" t="s">
        <v>1118</v>
      </c>
    </row>
    <row r="131" spans="1:3" ht="11.25">
      <c r="A131" s="1">
        <v>130</v>
      </c>
      <c r="B131" s="1" t="s">
        <v>554</v>
      </c>
      <c r="C131" s="2" t="s">
        <v>1119</v>
      </c>
    </row>
    <row r="132" spans="1:3" ht="11.25">
      <c r="A132" s="1">
        <v>131</v>
      </c>
      <c r="B132" s="1" t="s">
        <v>555</v>
      </c>
      <c r="C132" s="2" t="s">
        <v>1120</v>
      </c>
    </row>
    <row r="133" spans="1:3" ht="11.25">
      <c r="A133" s="1">
        <v>132</v>
      </c>
      <c r="B133" s="1" t="s">
        <v>556</v>
      </c>
      <c r="C133" s="2" t="s">
        <v>1121</v>
      </c>
    </row>
    <row r="134" spans="1:3" ht="11.25">
      <c r="A134" s="1">
        <v>133</v>
      </c>
      <c r="B134" s="1" t="s">
        <v>557</v>
      </c>
      <c r="C134" s="2" t="s">
        <v>1122</v>
      </c>
    </row>
    <row r="135" spans="1:3" ht="11.25">
      <c r="A135" s="1">
        <v>134</v>
      </c>
      <c r="B135" s="1" t="s">
        <v>558</v>
      </c>
      <c r="C135" s="2" t="s">
        <v>1123</v>
      </c>
    </row>
    <row r="136" spans="1:3" ht="11.25">
      <c r="A136" s="1">
        <v>135</v>
      </c>
      <c r="B136" s="1" t="s">
        <v>559</v>
      </c>
      <c r="C136" s="2" t="s">
        <v>1124</v>
      </c>
    </row>
    <row r="137" spans="1:3" ht="11.25">
      <c r="A137" s="1">
        <v>136</v>
      </c>
      <c r="B137" s="1" t="s">
        <v>560</v>
      </c>
      <c r="C137" s="2" t="s">
        <v>1125</v>
      </c>
    </row>
    <row r="138" spans="1:3" ht="11.25">
      <c r="A138" s="1">
        <v>137</v>
      </c>
      <c r="B138" s="1" t="s">
        <v>561</v>
      </c>
      <c r="C138" s="2" t="s">
        <v>1126</v>
      </c>
    </row>
    <row r="139" spans="1:3" ht="11.25">
      <c r="A139" s="1">
        <v>138</v>
      </c>
      <c r="B139" s="1" t="s">
        <v>562</v>
      </c>
      <c r="C139" s="2" t="s">
        <v>1127</v>
      </c>
    </row>
    <row r="140" spans="1:3" ht="11.25">
      <c r="A140" s="1">
        <v>139</v>
      </c>
      <c r="B140" s="1" t="s">
        <v>563</v>
      </c>
      <c r="C140" s="2" t="s">
        <v>1128</v>
      </c>
    </row>
    <row r="141" spans="1:3" ht="11.25">
      <c r="A141" s="1">
        <v>140</v>
      </c>
      <c r="B141" s="1" t="s">
        <v>564</v>
      </c>
      <c r="C141" s="2" t="s">
        <v>1129</v>
      </c>
    </row>
    <row r="142" spans="1:2" ht="11.25">
      <c r="A142" s="1">
        <v>141</v>
      </c>
      <c r="B142" s="1" t="s">
        <v>565</v>
      </c>
    </row>
    <row r="143" spans="1:2" ht="11.25">
      <c r="A143" s="1">
        <v>142</v>
      </c>
      <c r="B143" s="1" t="s">
        <v>566</v>
      </c>
    </row>
    <row r="144" spans="1:2" ht="11.25">
      <c r="A144" s="1">
        <v>143</v>
      </c>
      <c r="B144" s="1" t="s">
        <v>567</v>
      </c>
    </row>
    <row r="145" spans="1:2" ht="11.25">
      <c r="A145" s="1">
        <v>144</v>
      </c>
      <c r="B145" s="1" t="s">
        <v>568</v>
      </c>
    </row>
    <row r="146" spans="1:2" ht="11.25">
      <c r="A146" s="1">
        <v>145</v>
      </c>
      <c r="B146" s="1" t="s">
        <v>569</v>
      </c>
    </row>
    <row r="147" spans="1:2" ht="11.25">
      <c r="A147" s="1">
        <v>146</v>
      </c>
      <c r="B147" s="1" t="s">
        <v>570</v>
      </c>
    </row>
    <row r="148" spans="1:2" ht="11.25">
      <c r="A148" s="1">
        <v>147</v>
      </c>
      <c r="B148" s="1" t="s">
        <v>571</v>
      </c>
    </row>
    <row r="149" spans="1:2" ht="11.25">
      <c r="A149" s="1">
        <v>148</v>
      </c>
      <c r="B149" s="1" t="s">
        <v>572</v>
      </c>
    </row>
    <row r="150" spans="1:2" ht="11.25">
      <c r="A150" s="1">
        <v>149</v>
      </c>
      <c r="B150" s="1" t="s">
        <v>573</v>
      </c>
    </row>
    <row r="151" spans="1:2" ht="11.25">
      <c r="A151" s="1">
        <v>150</v>
      </c>
      <c r="B151" s="1" t="s">
        <v>574</v>
      </c>
    </row>
    <row r="152" spans="1:2" ht="11.25">
      <c r="A152" s="1">
        <v>151</v>
      </c>
      <c r="B152" s="1" t="s">
        <v>575</v>
      </c>
    </row>
    <row r="153" spans="1:2" ht="11.25">
      <c r="A153" s="1">
        <v>152</v>
      </c>
      <c r="B153" s="1" t="s">
        <v>576</v>
      </c>
    </row>
    <row r="154" spans="1:2" ht="11.25">
      <c r="A154" s="1">
        <v>153</v>
      </c>
      <c r="B154" s="1" t="s">
        <v>577</v>
      </c>
    </row>
    <row r="155" spans="1:2" ht="11.25">
      <c r="A155" s="1">
        <v>154</v>
      </c>
      <c r="B155" s="1" t="s">
        <v>578</v>
      </c>
    </row>
    <row r="156" spans="1:2" ht="11.25">
      <c r="A156" s="1">
        <v>155</v>
      </c>
      <c r="B156" s="1" t="s">
        <v>579</v>
      </c>
    </row>
    <row r="157" spans="1:2" ht="11.25">
      <c r="A157" s="1">
        <v>156</v>
      </c>
      <c r="B157" s="1" t="s">
        <v>580</v>
      </c>
    </row>
    <row r="158" spans="1:2" ht="11.25">
      <c r="A158" s="1">
        <v>157</v>
      </c>
      <c r="B158" s="1" t="s">
        <v>581</v>
      </c>
    </row>
    <row r="159" spans="1:2" ht="11.25">
      <c r="A159" s="1">
        <v>158</v>
      </c>
      <c r="B159" s="1" t="s">
        <v>582</v>
      </c>
    </row>
    <row r="160" spans="1:2" ht="11.25">
      <c r="A160" s="1">
        <v>159</v>
      </c>
      <c r="B160" s="1" t="s">
        <v>583</v>
      </c>
    </row>
    <row r="161" spans="1:2" ht="11.25">
      <c r="A161" s="1">
        <v>160</v>
      </c>
      <c r="B161" s="1" t="s">
        <v>584</v>
      </c>
    </row>
    <row r="162" spans="1:2" ht="11.25">
      <c r="A162" s="1">
        <v>161</v>
      </c>
      <c r="B162" s="1" t="s">
        <v>585</v>
      </c>
    </row>
    <row r="163" spans="1:2" ht="11.25">
      <c r="A163" s="1">
        <v>162</v>
      </c>
      <c r="B163" s="1" t="s">
        <v>586</v>
      </c>
    </row>
    <row r="164" spans="1:2" ht="11.25">
      <c r="A164" s="1">
        <v>163</v>
      </c>
      <c r="B164" s="1" t="s">
        <v>587</v>
      </c>
    </row>
    <row r="165" spans="1:2" ht="11.25">
      <c r="A165" s="1">
        <v>164</v>
      </c>
      <c r="B165" s="1" t="s">
        <v>588</v>
      </c>
    </row>
    <row r="166" spans="1:2" ht="11.25">
      <c r="A166" s="1">
        <v>165</v>
      </c>
      <c r="B166" s="1" t="s">
        <v>589</v>
      </c>
    </row>
    <row r="167" spans="1:2" ht="11.25">
      <c r="A167" s="1">
        <v>166</v>
      </c>
      <c r="B167" s="1" t="s">
        <v>590</v>
      </c>
    </row>
    <row r="168" spans="1:2" ht="11.25">
      <c r="A168" s="1">
        <v>167</v>
      </c>
      <c r="B168" s="1" t="s">
        <v>591</v>
      </c>
    </row>
    <row r="169" spans="1:2" ht="11.25">
      <c r="A169" s="1">
        <v>168</v>
      </c>
      <c r="B169" s="1" t="s">
        <v>592</v>
      </c>
    </row>
    <row r="170" spans="1:2" ht="11.25">
      <c r="A170" s="1">
        <v>169</v>
      </c>
      <c r="B170" s="1" t="s">
        <v>593</v>
      </c>
    </row>
    <row r="171" spans="1:2" ht="11.25">
      <c r="A171" s="1">
        <v>170</v>
      </c>
      <c r="B171" s="1" t="s">
        <v>594</v>
      </c>
    </row>
    <row r="172" spans="1:2" ht="11.25">
      <c r="A172" s="1">
        <v>171</v>
      </c>
      <c r="B172" s="1" t="s">
        <v>595</v>
      </c>
    </row>
    <row r="173" spans="1:2" ht="11.25">
      <c r="A173" s="1">
        <v>172</v>
      </c>
      <c r="B173" s="1" t="s">
        <v>596</v>
      </c>
    </row>
    <row r="174" spans="1:2" ht="11.25">
      <c r="A174" s="1">
        <v>173</v>
      </c>
      <c r="B174" s="1" t="s">
        <v>597</v>
      </c>
    </row>
    <row r="175" spans="1:2" ht="11.25">
      <c r="A175" s="1">
        <v>174</v>
      </c>
      <c r="B175" s="1" t="s">
        <v>598</v>
      </c>
    </row>
    <row r="176" spans="1:2" ht="11.25">
      <c r="A176" s="1">
        <v>175</v>
      </c>
      <c r="B176" s="1" t="s">
        <v>599</v>
      </c>
    </row>
    <row r="177" spans="1:2" ht="11.25">
      <c r="A177" s="1">
        <v>176</v>
      </c>
      <c r="B177" s="1" t="s">
        <v>600</v>
      </c>
    </row>
    <row r="178" spans="1:2" ht="11.25">
      <c r="A178" s="1">
        <v>177</v>
      </c>
      <c r="B178" s="1" t="s">
        <v>601</v>
      </c>
    </row>
    <row r="179" spans="1:2" ht="11.25">
      <c r="A179" s="1">
        <v>178</v>
      </c>
      <c r="B179" s="1" t="s">
        <v>602</v>
      </c>
    </row>
    <row r="180" spans="1:2" ht="11.25">
      <c r="A180" s="1">
        <v>179</v>
      </c>
      <c r="B180" s="1" t="s">
        <v>603</v>
      </c>
    </row>
    <row r="181" spans="1:2" ht="11.25">
      <c r="A181" s="1">
        <v>180</v>
      </c>
      <c r="B181" s="1" t="s">
        <v>604</v>
      </c>
    </row>
    <row r="182" spans="1:2" ht="11.25">
      <c r="A182" s="1">
        <v>181</v>
      </c>
      <c r="B182" s="1" t="s">
        <v>605</v>
      </c>
    </row>
    <row r="183" spans="1:2" ht="11.25">
      <c r="A183" s="1">
        <v>182</v>
      </c>
      <c r="B183" s="1" t="s">
        <v>606</v>
      </c>
    </row>
    <row r="184" spans="1:2" ht="11.25">
      <c r="A184" s="1">
        <v>183</v>
      </c>
      <c r="B184" s="1" t="s">
        <v>607</v>
      </c>
    </row>
    <row r="185" spans="1:2" ht="11.25">
      <c r="A185" s="1">
        <v>184</v>
      </c>
      <c r="B185" s="1" t="s">
        <v>608</v>
      </c>
    </row>
    <row r="186" spans="1:2" ht="11.25">
      <c r="A186" s="1">
        <v>185</v>
      </c>
      <c r="B186" s="1" t="s">
        <v>609</v>
      </c>
    </row>
    <row r="187" spans="1:2" ht="11.25">
      <c r="A187" s="1">
        <v>186</v>
      </c>
      <c r="B187" s="1" t="s">
        <v>610</v>
      </c>
    </row>
    <row r="188" spans="1:2" ht="11.25">
      <c r="A188" s="1">
        <v>187</v>
      </c>
      <c r="B188" s="1" t="s">
        <v>611</v>
      </c>
    </row>
    <row r="189" spans="1:2" ht="11.25">
      <c r="A189" s="1">
        <v>188</v>
      </c>
      <c r="B189" s="1" t="s">
        <v>612</v>
      </c>
    </row>
    <row r="190" spans="1:2" ht="11.25">
      <c r="A190" s="1">
        <v>189</v>
      </c>
      <c r="B190" s="1" t="s">
        <v>613</v>
      </c>
    </row>
    <row r="191" spans="1:2" ht="11.25">
      <c r="A191" s="1">
        <v>190</v>
      </c>
      <c r="B191" s="1" t="s">
        <v>614</v>
      </c>
    </row>
    <row r="192" spans="1:2" ht="11.25">
      <c r="A192" s="1">
        <v>191</v>
      </c>
      <c r="B192" s="1" t="s">
        <v>615</v>
      </c>
    </row>
    <row r="193" spans="1:2" ht="11.25">
      <c r="A193" s="1">
        <v>192</v>
      </c>
      <c r="B193" s="1" t="s">
        <v>616</v>
      </c>
    </row>
    <row r="194" spans="1:2" ht="11.25">
      <c r="A194" s="1">
        <v>193</v>
      </c>
      <c r="B194" s="1" t="s">
        <v>617</v>
      </c>
    </row>
    <row r="195" spans="1:2" ht="11.25">
      <c r="A195" s="1">
        <v>194</v>
      </c>
      <c r="B195" s="1" t="s">
        <v>618</v>
      </c>
    </row>
    <row r="196" spans="1:2" ht="11.25">
      <c r="A196" s="1">
        <v>195</v>
      </c>
      <c r="B196" s="1" t="s">
        <v>619</v>
      </c>
    </row>
    <row r="197" spans="1:2" ht="11.25">
      <c r="A197" s="1">
        <v>196</v>
      </c>
      <c r="B197" s="1" t="s">
        <v>620</v>
      </c>
    </row>
    <row r="198" spans="1:2" ht="11.25">
      <c r="A198" s="1">
        <v>197</v>
      </c>
      <c r="B198" s="1" t="s">
        <v>621</v>
      </c>
    </row>
    <row r="199" spans="1:2" ht="11.25">
      <c r="A199" s="1">
        <v>198</v>
      </c>
      <c r="B199" s="1" t="s">
        <v>622</v>
      </c>
    </row>
    <row r="200" spans="1:2" ht="11.25">
      <c r="A200" s="1">
        <v>199</v>
      </c>
      <c r="B200" s="1" t="s">
        <v>623</v>
      </c>
    </row>
    <row r="201" spans="1:2" ht="11.25">
      <c r="A201" s="1">
        <v>200</v>
      </c>
      <c r="B201" s="1" t="s">
        <v>624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8" sqref="J18"/>
    </sheetView>
  </sheetViews>
  <sheetFormatPr defaultColWidth="11.421875" defaultRowHeight="15"/>
  <cols>
    <col min="1" max="1" width="5.140625" style="2" bestFit="1" customWidth="1"/>
    <col min="2" max="2" width="4.57421875" style="2" bestFit="1" customWidth="1"/>
    <col min="3" max="3" width="6.140625" style="2" bestFit="1" customWidth="1"/>
    <col min="4" max="5" width="7.8515625" style="2" bestFit="1" customWidth="1"/>
    <col min="6" max="6" width="5.7109375" style="105" bestFit="1" customWidth="1"/>
    <col min="7" max="7" width="5.8515625" style="105" customWidth="1"/>
    <col min="8" max="8" width="6.00390625" style="1" customWidth="1"/>
    <col min="9" max="9" width="9.57421875" style="2" bestFit="1" customWidth="1"/>
    <col min="10" max="10" width="4.421875" style="2" bestFit="1" customWidth="1"/>
    <col min="11" max="11" width="3.28125" style="2" customWidth="1"/>
    <col min="12" max="12" width="7.421875" style="2" bestFit="1" customWidth="1"/>
    <col min="13" max="13" width="7.00390625" style="2" bestFit="1" customWidth="1"/>
    <col min="14" max="14" width="4.421875" style="2" bestFit="1" customWidth="1"/>
    <col min="15" max="15" width="3.421875" style="1" customWidth="1"/>
    <col min="16" max="16" width="5.421875" style="1" bestFit="1" customWidth="1"/>
    <col min="17" max="17" width="6.8515625" style="2" bestFit="1" customWidth="1"/>
    <col min="18" max="18" width="7.57421875" style="2" bestFit="1" customWidth="1"/>
    <col min="19" max="19" width="6.8515625" style="2" bestFit="1" customWidth="1"/>
    <col min="20" max="20" width="7.57421875" style="2" bestFit="1" customWidth="1"/>
    <col min="21" max="21" width="6.8515625" style="2" bestFit="1" customWidth="1"/>
    <col min="22" max="22" width="7.57421875" style="2" bestFit="1" customWidth="1"/>
    <col min="23" max="23" width="6.8515625" style="2" bestFit="1" customWidth="1"/>
    <col min="24" max="24" width="7.57421875" style="2" bestFit="1" customWidth="1"/>
    <col min="25" max="25" width="6.8515625" style="2" bestFit="1" customWidth="1"/>
    <col min="26" max="26" width="7.57421875" style="2" bestFit="1" customWidth="1"/>
    <col min="27" max="27" width="6.8515625" style="2" bestFit="1" customWidth="1"/>
    <col min="28" max="28" width="7.57421875" style="2" bestFit="1" customWidth="1"/>
    <col min="29" max="16384" width="11.421875" style="1" customWidth="1"/>
  </cols>
  <sheetData>
    <row r="1" spans="1:13" ht="12" thickBot="1">
      <c r="A1" s="4" t="s">
        <v>1399</v>
      </c>
      <c r="B1" s="4" t="s">
        <v>1400</v>
      </c>
      <c r="C1" s="4" t="s">
        <v>0</v>
      </c>
      <c r="D1" s="4" t="s">
        <v>1401</v>
      </c>
      <c r="E1" s="4" t="s">
        <v>1403</v>
      </c>
      <c r="F1" s="4" t="s">
        <v>1443</v>
      </c>
      <c r="G1" s="104"/>
      <c r="I1" s="2" t="s">
        <v>1398</v>
      </c>
      <c r="J1" s="2">
        <v>1050</v>
      </c>
      <c r="L1" s="2" t="s">
        <v>15</v>
      </c>
      <c r="M1" s="2">
        <v>120</v>
      </c>
    </row>
    <row r="2" spans="1:28" ht="11.25">
      <c r="A2" s="2">
        <v>1</v>
      </c>
      <c r="B2" s="2">
        <v>1</v>
      </c>
      <c r="C2" s="2">
        <f>J1</f>
        <v>1050</v>
      </c>
      <c r="D2" s="2">
        <f>C2</f>
        <v>1050</v>
      </c>
      <c r="F2" s="105">
        <f>J2</f>
        <v>138</v>
      </c>
      <c r="I2" s="105" t="s">
        <v>1444</v>
      </c>
      <c r="J2" s="2">
        <v>138</v>
      </c>
      <c r="L2" s="2" t="s">
        <v>0</v>
      </c>
      <c r="M2" s="2">
        <v>705000</v>
      </c>
      <c r="P2" s="9"/>
      <c r="Q2" s="158" t="s">
        <v>19</v>
      </c>
      <c r="R2" s="159"/>
      <c r="S2" s="158" t="s">
        <v>1404</v>
      </c>
      <c r="T2" s="159"/>
      <c r="U2" s="158" t="s">
        <v>1405</v>
      </c>
      <c r="V2" s="159"/>
      <c r="W2" s="158" t="s">
        <v>24</v>
      </c>
      <c r="X2" s="159"/>
      <c r="Y2" s="158" t="s">
        <v>25</v>
      </c>
      <c r="Z2" s="159"/>
      <c r="AA2" s="160" t="s">
        <v>1406</v>
      </c>
      <c r="AB2" s="159"/>
    </row>
    <row r="3" spans="1:28" ht="11.25">
      <c r="A3" s="2">
        <v>1</v>
      </c>
      <c r="B3" s="2">
        <v>2</v>
      </c>
      <c r="C3" s="2">
        <f aca="true" t="shared" si="0" ref="C3:C18">C2+J$1*A3</f>
        <v>2100</v>
      </c>
      <c r="D3" s="2">
        <f>D2+C3</f>
        <v>3150</v>
      </c>
      <c r="E3" s="2">
        <f aca="true" t="shared" si="1" ref="E3:E66">C2*0.8</f>
        <v>840</v>
      </c>
      <c r="F3" s="105">
        <f>F2+$J$3</f>
        <v>166</v>
      </c>
      <c r="I3" s="105" t="s">
        <v>1443</v>
      </c>
      <c r="J3" s="2">
        <v>28</v>
      </c>
      <c r="L3" s="2" t="s">
        <v>1402</v>
      </c>
      <c r="M3" s="2">
        <f>((100-(M1*0.8))*M2)/100</f>
        <v>28200</v>
      </c>
      <c r="N3" s="2">
        <f>(100-(M1*0.8))</f>
        <v>4</v>
      </c>
      <c r="P3" s="114"/>
      <c r="Q3" s="69" t="s">
        <v>1408</v>
      </c>
      <c r="R3" s="16" t="s">
        <v>1407</v>
      </c>
      <c r="S3" s="69" t="s">
        <v>1408</v>
      </c>
      <c r="T3" s="16" t="s">
        <v>1407</v>
      </c>
      <c r="U3" s="69" t="s">
        <v>1408</v>
      </c>
      <c r="V3" s="16" t="s">
        <v>1407</v>
      </c>
      <c r="W3" s="69" t="s">
        <v>1408</v>
      </c>
      <c r="X3" s="16" t="s">
        <v>1407</v>
      </c>
      <c r="Y3" s="69" t="s">
        <v>1408</v>
      </c>
      <c r="Z3" s="16" t="s">
        <v>1407</v>
      </c>
      <c r="AA3" s="6" t="s">
        <v>1408</v>
      </c>
      <c r="AB3" s="16" t="s">
        <v>1407</v>
      </c>
    </row>
    <row r="4" spans="1:28" ht="11.25">
      <c r="A4" s="2">
        <v>1</v>
      </c>
      <c r="B4" s="2">
        <v>3</v>
      </c>
      <c r="C4" s="2">
        <f t="shared" si="0"/>
        <v>3150</v>
      </c>
      <c r="D4" s="2">
        <f aca="true" t="shared" si="2" ref="D4:D67">D3+C4</f>
        <v>6300</v>
      </c>
      <c r="E4" s="2">
        <f t="shared" si="1"/>
        <v>1680</v>
      </c>
      <c r="F4" s="105">
        <f aca="true" t="shared" si="3" ref="F4:F67">F3+$J$3</f>
        <v>194</v>
      </c>
      <c r="P4" s="108" t="s">
        <v>1409</v>
      </c>
      <c r="Q4" s="87">
        <v>8</v>
      </c>
      <c r="R4" s="106">
        <v>84</v>
      </c>
      <c r="S4" s="87">
        <v>6</v>
      </c>
      <c r="T4" s="106">
        <v>45</v>
      </c>
      <c r="U4" s="87">
        <v>24</v>
      </c>
      <c r="V4" s="106">
        <v>105</v>
      </c>
      <c r="W4" s="87">
        <v>16</v>
      </c>
      <c r="X4" s="106">
        <v>60</v>
      </c>
      <c r="Y4" s="87">
        <v>5</v>
      </c>
      <c r="Z4" s="106">
        <v>114</v>
      </c>
      <c r="AA4" s="7">
        <v>10</v>
      </c>
      <c r="AB4" s="15">
        <v>135</v>
      </c>
    </row>
    <row r="5" spans="1:28" ht="11.25">
      <c r="A5" s="2">
        <v>1</v>
      </c>
      <c r="B5" s="2">
        <v>4</v>
      </c>
      <c r="C5" s="2">
        <f t="shared" si="0"/>
        <v>4200</v>
      </c>
      <c r="D5" s="2">
        <f t="shared" si="2"/>
        <v>10500</v>
      </c>
      <c r="E5" s="2">
        <f t="shared" si="1"/>
        <v>2520</v>
      </c>
      <c r="F5" s="105">
        <f t="shared" si="3"/>
        <v>222</v>
      </c>
      <c r="P5" s="109" t="s">
        <v>1410</v>
      </c>
      <c r="Q5" s="87">
        <v>12</v>
      </c>
      <c r="R5" s="106">
        <v>140</v>
      </c>
      <c r="S5" s="87">
        <v>9</v>
      </c>
      <c r="T5" s="106">
        <v>75</v>
      </c>
      <c r="U5" s="87">
        <v>31</v>
      </c>
      <c r="V5" s="106">
        <v>175</v>
      </c>
      <c r="W5" s="87">
        <v>21</v>
      </c>
      <c r="X5" s="106">
        <v>100</v>
      </c>
      <c r="Y5" s="87">
        <v>6</v>
      </c>
      <c r="Z5" s="106">
        <v>190</v>
      </c>
      <c r="AA5" s="7">
        <v>13</v>
      </c>
      <c r="AB5" s="15">
        <v>225</v>
      </c>
    </row>
    <row r="6" spans="1:28" ht="11.25">
      <c r="A6" s="2">
        <v>1</v>
      </c>
      <c r="B6" s="2">
        <v>5</v>
      </c>
      <c r="C6" s="2">
        <f t="shared" si="0"/>
        <v>5250</v>
      </c>
      <c r="D6" s="2">
        <f t="shared" si="2"/>
        <v>15750</v>
      </c>
      <c r="E6" s="2">
        <f t="shared" si="1"/>
        <v>3360</v>
      </c>
      <c r="F6" s="105">
        <f t="shared" si="3"/>
        <v>250</v>
      </c>
      <c r="P6" s="110" t="s">
        <v>1411</v>
      </c>
      <c r="Q6" s="87">
        <v>16</v>
      </c>
      <c r="R6" s="106">
        <v>224</v>
      </c>
      <c r="S6" s="87">
        <v>12</v>
      </c>
      <c r="T6" s="106">
        <v>120</v>
      </c>
      <c r="U6" s="87">
        <v>38</v>
      </c>
      <c r="V6" s="106">
        <v>280</v>
      </c>
      <c r="W6" s="87">
        <v>26</v>
      </c>
      <c r="X6" s="106">
        <v>160</v>
      </c>
      <c r="Y6" s="87">
        <v>7</v>
      </c>
      <c r="Z6" s="106">
        <v>304</v>
      </c>
      <c r="AA6" s="7">
        <v>16</v>
      </c>
      <c r="AB6" s="15">
        <v>360</v>
      </c>
    </row>
    <row r="7" spans="1:28" ht="11.25">
      <c r="A7" s="2">
        <v>1</v>
      </c>
      <c r="B7" s="2">
        <v>6</v>
      </c>
      <c r="C7" s="2">
        <f t="shared" si="0"/>
        <v>6300</v>
      </c>
      <c r="D7" s="2">
        <f t="shared" si="2"/>
        <v>22050</v>
      </c>
      <c r="E7" s="2">
        <f t="shared" si="1"/>
        <v>4200</v>
      </c>
      <c r="F7" s="105">
        <f t="shared" si="3"/>
        <v>278</v>
      </c>
      <c r="P7" s="111" t="s">
        <v>1412</v>
      </c>
      <c r="Q7" s="87">
        <v>20</v>
      </c>
      <c r="R7" s="106">
        <v>364</v>
      </c>
      <c r="S7" s="87">
        <v>15</v>
      </c>
      <c r="T7" s="106">
        <v>195</v>
      </c>
      <c r="U7" s="87">
        <v>48</v>
      </c>
      <c r="V7" s="106">
        <v>455</v>
      </c>
      <c r="W7" s="87">
        <v>32</v>
      </c>
      <c r="X7" s="106">
        <v>260</v>
      </c>
      <c r="Y7" s="87">
        <v>9</v>
      </c>
      <c r="Z7" s="106">
        <v>494</v>
      </c>
      <c r="AA7" s="7">
        <v>20</v>
      </c>
      <c r="AB7" s="15">
        <v>585</v>
      </c>
    </row>
    <row r="8" spans="1:28" ht="11.25">
      <c r="A8" s="2">
        <v>1</v>
      </c>
      <c r="B8" s="2">
        <v>7</v>
      </c>
      <c r="C8" s="2">
        <f t="shared" si="0"/>
        <v>7350</v>
      </c>
      <c r="D8" s="2">
        <f t="shared" si="2"/>
        <v>29400</v>
      </c>
      <c r="E8" s="2">
        <f t="shared" si="1"/>
        <v>5040</v>
      </c>
      <c r="F8" s="105">
        <f t="shared" si="3"/>
        <v>306</v>
      </c>
      <c r="P8" s="112" t="s">
        <v>1413</v>
      </c>
      <c r="Q8" s="87">
        <v>24</v>
      </c>
      <c r="R8" s="106">
        <v>560</v>
      </c>
      <c r="S8" s="87">
        <v>18</v>
      </c>
      <c r="T8" s="106">
        <v>300</v>
      </c>
      <c r="U8" s="87">
        <v>58</v>
      </c>
      <c r="V8" s="106">
        <v>700</v>
      </c>
      <c r="W8" s="87">
        <v>38</v>
      </c>
      <c r="X8" s="106">
        <v>400</v>
      </c>
      <c r="Y8" s="87">
        <v>11</v>
      </c>
      <c r="Z8" s="106">
        <v>760</v>
      </c>
      <c r="AA8" s="7">
        <v>24</v>
      </c>
      <c r="AB8" s="15">
        <v>900</v>
      </c>
    </row>
    <row r="9" spans="1:28" ht="11.25">
      <c r="A9" s="2">
        <v>1</v>
      </c>
      <c r="B9" s="2">
        <v>8</v>
      </c>
      <c r="C9" s="2">
        <f t="shared" si="0"/>
        <v>8400</v>
      </c>
      <c r="D9" s="2">
        <f t="shared" si="2"/>
        <v>37800</v>
      </c>
      <c r="E9" s="2">
        <f t="shared" si="1"/>
        <v>5880</v>
      </c>
      <c r="F9" s="105">
        <f t="shared" si="3"/>
        <v>334</v>
      </c>
      <c r="P9" s="113" t="s">
        <v>1414</v>
      </c>
      <c r="Q9" s="69">
        <v>28</v>
      </c>
      <c r="R9" s="16">
        <v>840</v>
      </c>
      <c r="S9" s="69">
        <v>21</v>
      </c>
      <c r="T9" s="16">
        <v>450</v>
      </c>
      <c r="U9" s="69">
        <v>67</v>
      </c>
      <c r="V9" s="16">
        <v>1050</v>
      </c>
      <c r="W9" s="69">
        <v>42</v>
      </c>
      <c r="X9" s="16">
        <v>1200</v>
      </c>
      <c r="Y9" s="69">
        <v>13</v>
      </c>
      <c r="Z9" s="16">
        <v>1140</v>
      </c>
      <c r="AA9" s="6"/>
      <c r="AB9" s="16"/>
    </row>
    <row r="10" spans="1:6" ht="11.25">
      <c r="A10" s="2">
        <v>1</v>
      </c>
      <c r="B10" s="2">
        <v>9</v>
      </c>
      <c r="C10" s="2">
        <f t="shared" si="0"/>
        <v>9450</v>
      </c>
      <c r="D10" s="2">
        <f t="shared" si="2"/>
        <v>47250</v>
      </c>
      <c r="E10" s="2">
        <f t="shared" si="1"/>
        <v>6720</v>
      </c>
      <c r="F10" s="105">
        <f t="shared" si="3"/>
        <v>362</v>
      </c>
    </row>
    <row r="11" spans="1:6" ht="11.25">
      <c r="A11" s="2">
        <v>1</v>
      </c>
      <c r="B11" s="2">
        <v>10</v>
      </c>
      <c r="C11" s="2">
        <f t="shared" si="0"/>
        <v>10500</v>
      </c>
      <c r="D11" s="2">
        <f t="shared" si="2"/>
        <v>57750</v>
      </c>
      <c r="E11" s="2">
        <f t="shared" si="1"/>
        <v>7560</v>
      </c>
      <c r="F11" s="105">
        <f t="shared" si="3"/>
        <v>390</v>
      </c>
    </row>
    <row r="12" spans="1:6" ht="11.25">
      <c r="A12" s="2">
        <v>2</v>
      </c>
      <c r="B12" s="2">
        <v>1</v>
      </c>
      <c r="C12" s="2">
        <f t="shared" si="0"/>
        <v>12600</v>
      </c>
      <c r="D12" s="2">
        <f t="shared" si="2"/>
        <v>70350</v>
      </c>
      <c r="E12" s="2">
        <f t="shared" si="1"/>
        <v>8400</v>
      </c>
      <c r="F12" s="105">
        <f t="shared" si="3"/>
        <v>418</v>
      </c>
    </row>
    <row r="13" spans="1:6" ht="11.25">
      <c r="A13" s="2">
        <v>2</v>
      </c>
      <c r="B13" s="2">
        <v>2</v>
      </c>
      <c r="C13" s="2">
        <f t="shared" si="0"/>
        <v>14700</v>
      </c>
      <c r="D13" s="2">
        <f t="shared" si="2"/>
        <v>85050</v>
      </c>
      <c r="E13" s="2">
        <f t="shared" si="1"/>
        <v>10080</v>
      </c>
      <c r="F13" s="105">
        <f t="shared" si="3"/>
        <v>446</v>
      </c>
    </row>
    <row r="14" spans="1:6" ht="11.25">
      <c r="A14" s="2">
        <v>2</v>
      </c>
      <c r="B14" s="2">
        <v>3</v>
      </c>
      <c r="C14" s="2">
        <f t="shared" si="0"/>
        <v>16800</v>
      </c>
      <c r="D14" s="2">
        <f t="shared" si="2"/>
        <v>101850</v>
      </c>
      <c r="E14" s="2">
        <f t="shared" si="1"/>
        <v>11760</v>
      </c>
      <c r="F14" s="105">
        <f t="shared" si="3"/>
        <v>474</v>
      </c>
    </row>
    <row r="15" spans="1:6" ht="11.25">
      <c r="A15" s="2">
        <v>2</v>
      </c>
      <c r="B15" s="2">
        <v>4</v>
      </c>
      <c r="C15" s="2">
        <f t="shared" si="0"/>
        <v>18900</v>
      </c>
      <c r="D15" s="2">
        <f t="shared" si="2"/>
        <v>120750</v>
      </c>
      <c r="E15" s="2">
        <f t="shared" si="1"/>
        <v>13440</v>
      </c>
      <c r="F15" s="105">
        <f t="shared" si="3"/>
        <v>502</v>
      </c>
    </row>
    <row r="16" spans="1:6" ht="11.25">
      <c r="A16" s="2">
        <v>2</v>
      </c>
      <c r="B16" s="2">
        <v>5</v>
      </c>
      <c r="C16" s="2">
        <f t="shared" si="0"/>
        <v>21000</v>
      </c>
      <c r="D16" s="2">
        <f t="shared" si="2"/>
        <v>141750</v>
      </c>
      <c r="E16" s="2">
        <f t="shared" si="1"/>
        <v>15120</v>
      </c>
      <c r="F16" s="105">
        <f t="shared" si="3"/>
        <v>530</v>
      </c>
    </row>
    <row r="17" spans="1:6" ht="11.25">
      <c r="A17" s="2">
        <v>2</v>
      </c>
      <c r="B17" s="2">
        <v>6</v>
      </c>
      <c r="C17" s="2">
        <f t="shared" si="0"/>
        <v>23100</v>
      </c>
      <c r="D17" s="2">
        <f t="shared" si="2"/>
        <v>164850</v>
      </c>
      <c r="E17" s="2">
        <f t="shared" si="1"/>
        <v>16800</v>
      </c>
      <c r="F17" s="105">
        <f t="shared" si="3"/>
        <v>558</v>
      </c>
    </row>
    <row r="18" spans="1:6" ht="11.25">
      <c r="A18" s="2">
        <v>2</v>
      </c>
      <c r="B18" s="2">
        <v>7</v>
      </c>
      <c r="C18" s="2">
        <f t="shared" si="0"/>
        <v>25200</v>
      </c>
      <c r="D18" s="2">
        <f t="shared" si="2"/>
        <v>190050</v>
      </c>
      <c r="E18" s="2">
        <f t="shared" si="1"/>
        <v>18480</v>
      </c>
      <c r="F18" s="105">
        <f t="shared" si="3"/>
        <v>586</v>
      </c>
    </row>
    <row r="19" spans="1:6" ht="11.25">
      <c r="A19" s="2">
        <v>2</v>
      </c>
      <c r="B19" s="2">
        <v>8</v>
      </c>
      <c r="C19" s="2">
        <f>C18+J$1*4</f>
        <v>29400</v>
      </c>
      <c r="D19" s="2">
        <f t="shared" si="2"/>
        <v>219450</v>
      </c>
      <c r="E19" s="2">
        <f t="shared" si="1"/>
        <v>20160</v>
      </c>
      <c r="F19" s="105">
        <f t="shared" si="3"/>
        <v>614</v>
      </c>
    </row>
    <row r="20" spans="1:6" ht="11.25">
      <c r="A20" s="2">
        <v>2</v>
      </c>
      <c r="B20" s="2">
        <v>9</v>
      </c>
      <c r="C20" s="2">
        <f aca="true" t="shared" si="4" ref="C20:C41">C19+J$1*A20</f>
        <v>31500</v>
      </c>
      <c r="D20" s="2">
        <f t="shared" si="2"/>
        <v>250950</v>
      </c>
      <c r="E20" s="2">
        <f t="shared" si="1"/>
        <v>23520</v>
      </c>
      <c r="F20" s="105">
        <f t="shared" si="3"/>
        <v>642</v>
      </c>
    </row>
    <row r="21" spans="1:6" ht="11.25">
      <c r="A21" s="2">
        <v>2</v>
      </c>
      <c r="B21" s="2">
        <v>10</v>
      </c>
      <c r="C21" s="2">
        <f t="shared" si="4"/>
        <v>33600</v>
      </c>
      <c r="D21" s="2">
        <f t="shared" si="2"/>
        <v>284550</v>
      </c>
      <c r="E21" s="2">
        <f t="shared" si="1"/>
        <v>25200</v>
      </c>
      <c r="F21" s="105">
        <f t="shared" si="3"/>
        <v>670</v>
      </c>
    </row>
    <row r="22" spans="1:6" ht="11.25">
      <c r="A22" s="2">
        <v>3</v>
      </c>
      <c r="B22" s="2">
        <v>1</v>
      </c>
      <c r="C22" s="2">
        <f t="shared" si="4"/>
        <v>36750</v>
      </c>
      <c r="D22" s="2">
        <f t="shared" si="2"/>
        <v>321300</v>
      </c>
      <c r="E22" s="2">
        <f t="shared" si="1"/>
        <v>26880</v>
      </c>
      <c r="F22" s="105">
        <f t="shared" si="3"/>
        <v>698</v>
      </c>
    </row>
    <row r="23" spans="1:6" ht="11.25">
      <c r="A23" s="2">
        <v>3</v>
      </c>
      <c r="B23" s="2">
        <v>2</v>
      </c>
      <c r="C23" s="2">
        <f t="shared" si="4"/>
        <v>39900</v>
      </c>
      <c r="D23" s="2">
        <f t="shared" si="2"/>
        <v>361200</v>
      </c>
      <c r="E23" s="2">
        <f t="shared" si="1"/>
        <v>29400</v>
      </c>
      <c r="F23" s="105">
        <f t="shared" si="3"/>
        <v>726</v>
      </c>
    </row>
    <row r="24" spans="1:6" ht="11.25">
      <c r="A24" s="2">
        <v>3</v>
      </c>
      <c r="B24" s="2">
        <v>3</v>
      </c>
      <c r="C24" s="2">
        <f t="shared" si="4"/>
        <v>43050</v>
      </c>
      <c r="D24" s="2">
        <f t="shared" si="2"/>
        <v>404250</v>
      </c>
      <c r="E24" s="2">
        <f t="shared" si="1"/>
        <v>31920</v>
      </c>
      <c r="F24" s="105">
        <f t="shared" si="3"/>
        <v>754</v>
      </c>
    </row>
    <row r="25" spans="1:6" ht="11.25">
      <c r="A25" s="2">
        <v>3</v>
      </c>
      <c r="B25" s="2">
        <v>4</v>
      </c>
      <c r="C25" s="2">
        <f t="shared" si="4"/>
        <v>46200</v>
      </c>
      <c r="D25" s="2">
        <f t="shared" si="2"/>
        <v>450450</v>
      </c>
      <c r="E25" s="2">
        <f t="shared" si="1"/>
        <v>34440</v>
      </c>
      <c r="F25" s="105">
        <f t="shared" si="3"/>
        <v>782</v>
      </c>
    </row>
    <row r="26" spans="1:6" ht="11.25">
      <c r="A26" s="2">
        <v>3</v>
      </c>
      <c r="B26" s="2">
        <v>5</v>
      </c>
      <c r="C26" s="2">
        <f t="shared" si="4"/>
        <v>49350</v>
      </c>
      <c r="D26" s="2">
        <f t="shared" si="2"/>
        <v>499800</v>
      </c>
      <c r="E26" s="2">
        <f t="shared" si="1"/>
        <v>36960</v>
      </c>
      <c r="F26" s="105">
        <f t="shared" si="3"/>
        <v>810</v>
      </c>
    </row>
    <row r="27" spans="1:6" ht="11.25">
      <c r="A27" s="2">
        <v>3</v>
      </c>
      <c r="B27" s="2">
        <v>6</v>
      </c>
      <c r="C27" s="2">
        <f t="shared" si="4"/>
        <v>52500</v>
      </c>
      <c r="D27" s="2">
        <f t="shared" si="2"/>
        <v>552300</v>
      </c>
      <c r="E27" s="2">
        <f t="shared" si="1"/>
        <v>39480</v>
      </c>
      <c r="F27" s="105">
        <f t="shared" si="3"/>
        <v>838</v>
      </c>
    </row>
    <row r="28" spans="1:6" ht="11.25">
      <c r="A28" s="2">
        <v>3</v>
      </c>
      <c r="B28" s="2">
        <v>7</v>
      </c>
      <c r="C28" s="2">
        <f t="shared" si="4"/>
        <v>55650</v>
      </c>
      <c r="D28" s="2">
        <f t="shared" si="2"/>
        <v>607950</v>
      </c>
      <c r="E28" s="2">
        <f t="shared" si="1"/>
        <v>42000</v>
      </c>
      <c r="F28" s="105">
        <f t="shared" si="3"/>
        <v>866</v>
      </c>
    </row>
    <row r="29" spans="1:6" ht="11.25">
      <c r="A29" s="2">
        <v>3</v>
      </c>
      <c r="B29" s="2">
        <v>8</v>
      </c>
      <c r="C29" s="2">
        <f t="shared" si="4"/>
        <v>58800</v>
      </c>
      <c r="D29" s="2">
        <f t="shared" si="2"/>
        <v>666750</v>
      </c>
      <c r="E29" s="2">
        <f t="shared" si="1"/>
        <v>44520</v>
      </c>
      <c r="F29" s="105">
        <f t="shared" si="3"/>
        <v>894</v>
      </c>
    </row>
    <row r="30" spans="1:6" ht="11.25">
      <c r="A30" s="2">
        <v>3</v>
      </c>
      <c r="B30" s="2">
        <v>9</v>
      </c>
      <c r="C30" s="2">
        <f t="shared" si="4"/>
        <v>61950</v>
      </c>
      <c r="D30" s="2">
        <f t="shared" si="2"/>
        <v>728700</v>
      </c>
      <c r="E30" s="2">
        <f t="shared" si="1"/>
        <v>47040</v>
      </c>
      <c r="F30" s="105">
        <f t="shared" si="3"/>
        <v>922</v>
      </c>
    </row>
    <row r="31" spans="1:6" ht="11.25">
      <c r="A31" s="2">
        <v>3</v>
      </c>
      <c r="B31" s="2">
        <v>10</v>
      </c>
      <c r="C31" s="2">
        <f t="shared" si="4"/>
        <v>65100</v>
      </c>
      <c r="D31" s="2">
        <f t="shared" si="2"/>
        <v>793800</v>
      </c>
      <c r="E31" s="2">
        <f t="shared" si="1"/>
        <v>49560</v>
      </c>
      <c r="F31" s="105">
        <f t="shared" si="3"/>
        <v>950</v>
      </c>
    </row>
    <row r="32" spans="1:6" ht="11.25">
      <c r="A32" s="2">
        <v>4</v>
      </c>
      <c r="B32" s="2">
        <v>1</v>
      </c>
      <c r="C32" s="2">
        <f t="shared" si="4"/>
        <v>69300</v>
      </c>
      <c r="D32" s="2">
        <f t="shared" si="2"/>
        <v>863100</v>
      </c>
      <c r="E32" s="2">
        <f t="shared" si="1"/>
        <v>52080</v>
      </c>
      <c r="F32" s="105">
        <f t="shared" si="3"/>
        <v>978</v>
      </c>
    </row>
    <row r="33" spans="1:6" ht="11.25">
      <c r="A33" s="2">
        <v>4</v>
      </c>
      <c r="B33" s="2">
        <v>2</v>
      </c>
      <c r="C33" s="2">
        <f t="shared" si="4"/>
        <v>73500</v>
      </c>
      <c r="D33" s="2">
        <f t="shared" si="2"/>
        <v>936600</v>
      </c>
      <c r="E33" s="2">
        <f t="shared" si="1"/>
        <v>55440</v>
      </c>
      <c r="F33" s="105">
        <f t="shared" si="3"/>
        <v>1006</v>
      </c>
    </row>
    <row r="34" spans="1:6" ht="11.25">
      <c r="A34" s="2">
        <v>4</v>
      </c>
      <c r="B34" s="2">
        <v>3</v>
      </c>
      <c r="C34" s="2">
        <f t="shared" si="4"/>
        <v>77700</v>
      </c>
      <c r="D34" s="2">
        <f t="shared" si="2"/>
        <v>1014300</v>
      </c>
      <c r="E34" s="2">
        <f t="shared" si="1"/>
        <v>58800</v>
      </c>
      <c r="F34" s="105">
        <f t="shared" si="3"/>
        <v>1034</v>
      </c>
    </row>
    <row r="35" spans="1:6" ht="11.25">
      <c r="A35" s="2">
        <v>4</v>
      </c>
      <c r="B35" s="2">
        <v>4</v>
      </c>
      <c r="C35" s="2">
        <f t="shared" si="4"/>
        <v>81900</v>
      </c>
      <c r="D35" s="2">
        <f t="shared" si="2"/>
        <v>1096200</v>
      </c>
      <c r="E35" s="2">
        <f t="shared" si="1"/>
        <v>62160</v>
      </c>
      <c r="F35" s="105">
        <f t="shared" si="3"/>
        <v>1062</v>
      </c>
    </row>
    <row r="36" spans="1:6" ht="11.25">
      <c r="A36" s="2">
        <v>4</v>
      </c>
      <c r="B36" s="2">
        <v>5</v>
      </c>
      <c r="C36" s="2">
        <f t="shared" si="4"/>
        <v>86100</v>
      </c>
      <c r="D36" s="2">
        <f t="shared" si="2"/>
        <v>1182300</v>
      </c>
      <c r="E36" s="2">
        <f t="shared" si="1"/>
        <v>65520</v>
      </c>
      <c r="F36" s="105">
        <f t="shared" si="3"/>
        <v>1090</v>
      </c>
    </row>
    <row r="37" spans="1:6" ht="11.25">
      <c r="A37" s="2">
        <v>4</v>
      </c>
      <c r="B37" s="2">
        <v>6</v>
      </c>
      <c r="C37" s="2">
        <f t="shared" si="4"/>
        <v>90300</v>
      </c>
      <c r="D37" s="2">
        <f t="shared" si="2"/>
        <v>1272600</v>
      </c>
      <c r="E37" s="2">
        <f t="shared" si="1"/>
        <v>68880</v>
      </c>
      <c r="F37" s="105">
        <f t="shared" si="3"/>
        <v>1118</v>
      </c>
    </row>
    <row r="38" spans="1:6" ht="11.25">
      <c r="A38" s="2">
        <v>4</v>
      </c>
      <c r="B38" s="2">
        <v>7</v>
      </c>
      <c r="C38" s="2">
        <f t="shared" si="4"/>
        <v>94500</v>
      </c>
      <c r="D38" s="2">
        <f t="shared" si="2"/>
        <v>1367100</v>
      </c>
      <c r="E38" s="2">
        <f t="shared" si="1"/>
        <v>72240</v>
      </c>
      <c r="F38" s="105">
        <f t="shared" si="3"/>
        <v>1146</v>
      </c>
    </row>
    <row r="39" spans="1:6" ht="11.25">
      <c r="A39" s="2">
        <v>4</v>
      </c>
      <c r="B39" s="2">
        <v>8</v>
      </c>
      <c r="C39" s="2">
        <f t="shared" si="4"/>
        <v>98700</v>
      </c>
      <c r="D39" s="2">
        <f t="shared" si="2"/>
        <v>1465800</v>
      </c>
      <c r="E39" s="2">
        <f t="shared" si="1"/>
        <v>75600</v>
      </c>
      <c r="F39" s="105">
        <f t="shared" si="3"/>
        <v>1174</v>
      </c>
    </row>
    <row r="40" spans="1:6" ht="11.25">
      <c r="A40" s="2">
        <v>4</v>
      </c>
      <c r="B40" s="2">
        <v>9</v>
      </c>
      <c r="C40" s="2">
        <f t="shared" si="4"/>
        <v>102900</v>
      </c>
      <c r="D40" s="2">
        <f t="shared" si="2"/>
        <v>1568700</v>
      </c>
      <c r="E40" s="2">
        <f t="shared" si="1"/>
        <v>78960</v>
      </c>
      <c r="F40" s="105">
        <f t="shared" si="3"/>
        <v>1202</v>
      </c>
    </row>
    <row r="41" spans="1:6" ht="11.25">
      <c r="A41" s="2">
        <v>4</v>
      </c>
      <c r="B41" s="2">
        <v>10</v>
      </c>
      <c r="C41" s="2">
        <f t="shared" si="4"/>
        <v>107100</v>
      </c>
      <c r="D41" s="2">
        <f t="shared" si="2"/>
        <v>1675800</v>
      </c>
      <c r="E41" s="2">
        <f t="shared" si="1"/>
        <v>82320</v>
      </c>
      <c r="F41" s="105">
        <f t="shared" si="3"/>
        <v>1230</v>
      </c>
    </row>
    <row r="42" spans="1:6" ht="11.25">
      <c r="A42" s="2">
        <v>5</v>
      </c>
      <c r="B42" s="2">
        <v>1</v>
      </c>
      <c r="C42" s="2">
        <f aca="true" t="shared" si="5" ref="C42:C51">C41+J$1*A$41</f>
        <v>111300</v>
      </c>
      <c r="D42" s="2">
        <f t="shared" si="2"/>
        <v>1787100</v>
      </c>
      <c r="E42" s="2">
        <f t="shared" si="1"/>
        <v>85680</v>
      </c>
      <c r="F42" s="105">
        <f t="shared" si="3"/>
        <v>1258</v>
      </c>
    </row>
    <row r="43" spans="1:6" ht="11.25">
      <c r="A43" s="2">
        <v>5</v>
      </c>
      <c r="B43" s="2">
        <v>2</v>
      </c>
      <c r="C43" s="2">
        <f t="shared" si="5"/>
        <v>115500</v>
      </c>
      <c r="D43" s="2">
        <f t="shared" si="2"/>
        <v>1902600</v>
      </c>
      <c r="E43" s="2">
        <f t="shared" si="1"/>
        <v>89040</v>
      </c>
      <c r="F43" s="105">
        <f t="shared" si="3"/>
        <v>1286</v>
      </c>
    </row>
    <row r="44" spans="1:6" ht="11.25">
      <c r="A44" s="2">
        <v>5</v>
      </c>
      <c r="B44" s="2">
        <v>3</v>
      </c>
      <c r="C44" s="2">
        <f t="shared" si="5"/>
        <v>119700</v>
      </c>
      <c r="D44" s="2">
        <f t="shared" si="2"/>
        <v>2022300</v>
      </c>
      <c r="E44" s="2">
        <f t="shared" si="1"/>
        <v>92400</v>
      </c>
      <c r="F44" s="105">
        <f t="shared" si="3"/>
        <v>1314</v>
      </c>
    </row>
    <row r="45" spans="1:6" ht="11.25">
      <c r="A45" s="2">
        <v>5</v>
      </c>
      <c r="B45" s="2">
        <v>4</v>
      </c>
      <c r="C45" s="2">
        <f t="shared" si="5"/>
        <v>123900</v>
      </c>
      <c r="D45" s="2">
        <f t="shared" si="2"/>
        <v>2146200</v>
      </c>
      <c r="E45" s="2">
        <f t="shared" si="1"/>
        <v>95760</v>
      </c>
      <c r="F45" s="105">
        <f t="shared" si="3"/>
        <v>1342</v>
      </c>
    </row>
    <row r="46" spans="1:6" ht="11.25">
      <c r="A46" s="2">
        <v>5</v>
      </c>
      <c r="B46" s="2">
        <v>5</v>
      </c>
      <c r="C46" s="2">
        <f t="shared" si="5"/>
        <v>128100</v>
      </c>
      <c r="D46" s="2">
        <f t="shared" si="2"/>
        <v>2274300</v>
      </c>
      <c r="E46" s="2">
        <f t="shared" si="1"/>
        <v>99120</v>
      </c>
      <c r="F46" s="105">
        <f t="shared" si="3"/>
        <v>1370</v>
      </c>
    </row>
    <row r="47" spans="1:6" ht="11.25">
      <c r="A47" s="2">
        <v>5</v>
      </c>
      <c r="B47" s="2">
        <v>6</v>
      </c>
      <c r="C47" s="2">
        <f t="shared" si="5"/>
        <v>132300</v>
      </c>
      <c r="D47" s="2">
        <f t="shared" si="2"/>
        <v>2406600</v>
      </c>
      <c r="E47" s="2">
        <f t="shared" si="1"/>
        <v>102480</v>
      </c>
      <c r="F47" s="105">
        <f t="shared" si="3"/>
        <v>1398</v>
      </c>
    </row>
    <row r="48" spans="1:6" ht="11.25">
      <c r="A48" s="2">
        <v>5</v>
      </c>
      <c r="B48" s="2">
        <v>7</v>
      </c>
      <c r="C48" s="2">
        <f t="shared" si="5"/>
        <v>136500</v>
      </c>
      <c r="D48" s="2">
        <f t="shared" si="2"/>
        <v>2543100</v>
      </c>
      <c r="E48" s="2">
        <f t="shared" si="1"/>
        <v>105840</v>
      </c>
      <c r="F48" s="105">
        <f t="shared" si="3"/>
        <v>1426</v>
      </c>
    </row>
    <row r="49" spans="1:6" ht="11.25">
      <c r="A49" s="2">
        <v>5</v>
      </c>
      <c r="B49" s="2">
        <v>8</v>
      </c>
      <c r="C49" s="2">
        <f t="shared" si="5"/>
        <v>140700</v>
      </c>
      <c r="D49" s="2">
        <f t="shared" si="2"/>
        <v>2683800</v>
      </c>
      <c r="E49" s="2">
        <f t="shared" si="1"/>
        <v>109200</v>
      </c>
      <c r="F49" s="105">
        <f t="shared" si="3"/>
        <v>1454</v>
      </c>
    </row>
    <row r="50" spans="1:6" ht="11.25">
      <c r="A50" s="2">
        <v>5</v>
      </c>
      <c r="B50" s="2">
        <v>9</v>
      </c>
      <c r="C50" s="2">
        <f t="shared" si="5"/>
        <v>144900</v>
      </c>
      <c r="D50" s="2">
        <f t="shared" si="2"/>
        <v>2828700</v>
      </c>
      <c r="E50" s="2">
        <f t="shared" si="1"/>
        <v>112560</v>
      </c>
      <c r="F50" s="105">
        <f t="shared" si="3"/>
        <v>1482</v>
      </c>
    </row>
    <row r="51" spans="1:6" ht="11.25">
      <c r="A51" s="2">
        <v>5</v>
      </c>
      <c r="B51" s="2">
        <v>10</v>
      </c>
      <c r="C51" s="2">
        <f t="shared" si="5"/>
        <v>149100</v>
      </c>
      <c r="D51" s="2">
        <f t="shared" si="2"/>
        <v>2977800</v>
      </c>
      <c r="E51" s="2">
        <f t="shared" si="1"/>
        <v>115920</v>
      </c>
      <c r="F51" s="105">
        <f t="shared" si="3"/>
        <v>1510</v>
      </c>
    </row>
    <row r="52" spans="1:6" ht="11.25">
      <c r="A52" s="2">
        <v>6</v>
      </c>
      <c r="B52" s="2">
        <v>1</v>
      </c>
      <c r="C52" s="2">
        <f>C51+J$1*22</f>
        <v>172200</v>
      </c>
      <c r="D52" s="2">
        <f t="shared" si="2"/>
        <v>3150000</v>
      </c>
      <c r="E52" s="2">
        <f t="shared" si="1"/>
        <v>119280</v>
      </c>
      <c r="F52" s="105">
        <f t="shared" si="3"/>
        <v>1538</v>
      </c>
    </row>
    <row r="53" spans="1:6" ht="11.25">
      <c r="A53" s="2">
        <v>6</v>
      </c>
      <c r="B53" s="2">
        <v>2</v>
      </c>
      <c r="C53" s="2">
        <f aca="true" t="shared" si="6" ref="C53:C91">C52+J$1*A$41</f>
        <v>176400</v>
      </c>
      <c r="D53" s="2">
        <f t="shared" si="2"/>
        <v>3326400</v>
      </c>
      <c r="E53" s="2">
        <f t="shared" si="1"/>
        <v>137760</v>
      </c>
      <c r="F53" s="105">
        <f t="shared" si="3"/>
        <v>1566</v>
      </c>
    </row>
    <row r="54" spans="1:6" ht="11.25">
      <c r="A54" s="2">
        <v>6</v>
      </c>
      <c r="B54" s="2">
        <v>3</v>
      </c>
      <c r="C54" s="2">
        <f t="shared" si="6"/>
        <v>180600</v>
      </c>
      <c r="D54" s="2">
        <f t="shared" si="2"/>
        <v>3507000</v>
      </c>
      <c r="E54" s="2">
        <f t="shared" si="1"/>
        <v>141120</v>
      </c>
      <c r="F54" s="105">
        <f t="shared" si="3"/>
        <v>1594</v>
      </c>
    </row>
    <row r="55" spans="1:6" ht="11.25">
      <c r="A55" s="2">
        <v>6</v>
      </c>
      <c r="B55" s="2">
        <v>4</v>
      </c>
      <c r="C55" s="2">
        <f t="shared" si="6"/>
        <v>184800</v>
      </c>
      <c r="D55" s="2">
        <f t="shared" si="2"/>
        <v>3691800</v>
      </c>
      <c r="E55" s="2">
        <f t="shared" si="1"/>
        <v>144480</v>
      </c>
      <c r="F55" s="105">
        <f t="shared" si="3"/>
        <v>1622</v>
      </c>
    </row>
    <row r="56" spans="1:6" ht="11.25">
      <c r="A56" s="2">
        <v>6</v>
      </c>
      <c r="B56" s="2">
        <v>5</v>
      </c>
      <c r="C56" s="2">
        <f t="shared" si="6"/>
        <v>189000</v>
      </c>
      <c r="D56" s="2">
        <f t="shared" si="2"/>
        <v>3880800</v>
      </c>
      <c r="E56" s="2">
        <f t="shared" si="1"/>
        <v>147840</v>
      </c>
      <c r="F56" s="105">
        <f t="shared" si="3"/>
        <v>1650</v>
      </c>
    </row>
    <row r="57" spans="1:6" ht="11.25">
      <c r="A57" s="2">
        <v>6</v>
      </c>
      <c r="B57" s="2">
        <v>6</v>
      </c>
      <c r="C57" s="2">
        <f t="shared" si="6"/>
        <v>193200</v>
      </c>
      <c r="D57" s="2">
        <f t="shared" si="2"/>
        <v>4074000</v>
      </c>
      <c r="E57" s="2">
        <f t="shared" si="1"/>
        <v>151200</v>
      </c>
      <c r="F57" s="105">
        <f t="shared" si="3"/>
        <v>1678</v>
      </c>
    </row>
    <row r="58" spans="1:6" ht="11.25">
      <c r="A58" s="2">
        <v>6</v>
      </c>
      <c r="B58" s="2">
        <v>7</v>
      </c>
      <c r="C58" s="2">
        <f t="shared" si="6"/>
        <v>197400</v>
      </c>
      <c r="D58" s="2">
        <f t="shared" si="2"/>
        <v>4271400</v>
      </c>
      <c r="E58" s="2">
        <f t="shared" si="1"/>
        <v>154560</v>
      </c>
      <c r="F58" s="105">
        <f t="shared" si="3"/>
        <v>1706</v>
      </c>
    </row>
    <row r="59" spans="1:6" ht="11.25">
      <c r="A59" s="2">
        <v>6</v>
      </c>
      <c r="B59" s="2">
        <v>8</v>
      </c>
      <c r="C59" s="2">
        <f t="shared" si="6"/>
        <v>201600</v>
      </c>
      <c r="D59" s="2">
        <f t="shared" si="2"/>
        <v>4473000</v>
      </c>
      <c r="E59" s="2">
        <f t="shared" si="1"/>
        <v>157920</v>
      </c>
      <c r="F59" s="105">
        <f t="shared" si="3"/>
        <v>1734</v>
      </c>
    </row>
    <row r="60" spans="1:6" ht="11.25">
      <c r="A60" s="2">
        <v>6</v>
      </c>
      <c r="B60" s="2">
        <v>9</v>
      </c>
      <c r="C60" s="2">
        <f t="shared" si="6"/>
        <v>205800</v>
      </c>
      <c r="D60" s="2">
        <f t="shared" si="2"/>
        <v>4678800</v>
      </c>
      <c r="E60" s="2">
        <f t="shared" si="1"/>
        <v>161280</v>
      </c>
      <c r="F60" s="105">
        <f t="shared" si="3"/>
        <v>1762</v>
      </c>
    </row>
    <row r="61" spans="1:6" ht="11.25">
      <c r="A61" s="2">
        <v>6</v>
      </c>
      <c r="B61" s="2">
        <v>10</v>
      </c>
      <c r="C61" s="2">
        <f t="shared" si="6"/>
        <v>210000</v>
      </c>
      <c r="D61" s="2">
        <f t="shared" si="2"/>
        <v>4888800</v>
      </c>
      <c r="E61" s="2">
        <f t="shared" si="1"/>
        <v>164640</v>
      </c>
      <c r="F61" s="105">
        <f t="shared" si="3"/>
        <v>1790</v>
      </c>
    </row>
    <row r="62" spans="1:6" ht="11.25">
      <c r="A62" s="2">
        <v>7</v>
      </c>
      <c r="B62" s="2">
        <v>1</v>
      </c>
      <c r="C62" s="2">
        <f t="shared" si="6"/>
        <v>214200</v>
      </c>
      <c r="D62" s="2">
        <f t="shared" si="2"/>
        <v>5103000</v>
      </c>
      <c r="E62" s="2">
        <f t="shared" si="1"/>
        <v>168000</v>
      </c>
      <c r="F62" s="105">
        <f t="shared" si="3"/>
        <v>1818</v>
      </c>
    </row>
    <row r="63" spans="1:6" ht="11.25">
      <c r="A63" s="2">
        <v>7</v>
      </c>
      <c r="B63" s="2">
        <v>2</v>
      </c>
      <c r="C63" s="2">
        <f t="shared" si="6"/>
        <v>218400</v>
      </c>
      <c r="D63" s="2">
        <f t="shared" si="2"/>
        <v>5321400</v>
      </c>
      <c r="E63" s="2">
        <f t="shared" si="1"/>
        <v>171360</v>
      </c>
      <c r="F63" s="105">
        <f t="shared" si="3"/>
        <v>1846</v>
      </c>
    </row>
    <row r="64" spans="1:6" ht="11.25">
      <c r="A64" s="2">
        <v>7</v>
      </c>
      <c r="B64" s="2">
        <v>3</v>
      </c>
      <c r="C64" s="2">
        <f t="shared" si="6"/>
        <v>222600</v>
      </c>
      <c r="D64" s="2">
        <f t="shared" si="2"/>
        <v>5544000</v>
      </c>
      <c r="E64" s="2">
        <f t="shared" si="1"/>
        <v>174720</v>
      </c>
      <c r="F64" s="105">
        <f t="shared" si="3"/>
        <v>1874</v>
      </c>
    </row>
    <row r="65" spans="1:6" ht="11.25">
      <c r="A65" s="2">
        <v>7</v>
      </c>
      <c r="B65" s="2">
        <v>4</v>
      </c>
      <c r="C65" s="2">
        <f t="shared" si="6"/>
        <v>226800</v>
      </c>
      <c r="D65" s="2">
        <f t="shared" si="2"/>
        <v>5770800</v>
      </c>
      <c r="E65" s="2">
        <f t="shared" si="1"/>
        <v>178080</v>
      </c>
      <c r="F65" s="105">
        <f t="shared" si="3"/>
        <v>1902</v>
      </c>
    </row>
    <row r="66" spans="1:6" ht="11.25">
      <c r="A66" s="2">
        <v>7</v>
      </c>
      <c r="B66" s="2">
        <v>5</v>
      </c>
      <c r="C66" s="2">
        <f t="shared" si="6"/>
        <v>231000</v>
      </c>
      <c r="D66" s="2">
        <f t="shared" si="2"/>
        <v>6001800</v>
      </c>
      <c r="E66" s="2">
        <f t="shared" si="1"/>
        <v>181440</v>
      </c>
      <c r="F66" s="105">
        <f t="shared" si="3"/>
        <v>1930</v>
      </c>
    </row>
    <row r="67" spans="1:6" ht="11.25">
      <c r="A67" s="2">
        <v>7</v>
      </c>
      <c r="B67" s="2">
        <v>6</v>
      </c>
      <c r="C67" s="2">
        <f t="shared" si="6"/>
        <v>235200</v>
      </c>
      <c r="D67" s="2">
        <f t="shared" si="2"/>
        <v>6237000</v>
      </c>
      <c r="E67" s="2">
        <f aca="true" t="shared" si="7" ref="E67:E74">C66*0.8</f>
        <v>184800</v>
      </c>
      <c r="F67" s="105">
        <f t="shared" si="3"/>
        <v>1958</v>
      </c>
    </row>
    <row r="68" spans="1:6" ht="11.25">
      <c r="A68" s="2">
        <v>7</v>
      </c>
      <c r="B68" s="2">
        <v>7</v>
      </c>
      <c r="C68" s="2">
        <f t="shared" si="6"/>
        <v>239400</v>
      </c>
      <c r="D68" s="2">
        <f aca="true" t="shared" si="8" ref="D68:D121">D67+C68</f>
        <v>6476400</v>
      </c>
      <c r="E68" s="2">
        <f t="shared" si="7"/>
        <v>188160</v>
      </c>
      <c r="F68" s="105">
        <f aca="true" t="shared" si="9" ref="F68:F121">F67+$J$3</f>
        <v>1986</v>
      </c>
    </row>
    <row r="69" spans="1:6" ht="11.25">
      <c r="A69" s="2">
        <v>7</v>
      </c>
      <c r="B69" s="2">
        <v>8</v>
      </c>
      <c r="C69" s="2">
        <f t="shared" si="6"/>
        <v>243600</v>
      </c>
      <c r="D69" s="2">
        <f t="shared" si="8"/>
        <v>6720000</v>
      </c>
      <c r="E69" s="2">
        <f t="shared" si="7"/>
        <v>191520</v>
      </c>
      <c r="F69" s="105">
        <f t="shared" si="9"/>
        <v>2014</v>
      </c>
    </row>
    <row r="70" spans="1:6" ht="11.25">
      <c r="A70" s="2">
        <v>7</v>
      </c>
      <c r="B70" s="2">
        <v>9</v>
      </c>
      <c r="C70" s="2">
        <f t="shared" si="6"/>
        <v>247800</v>
      </c>
      <c r="D70" s="2">
        <f t="shared" si="8"/>
        <v>6967800</v>
      </c>
      <c r="E70" s="2">
        <f t="shared" si="7"/>
        <v>194880</v>
      </c>
      <c r="F70" s="105">
        <f t="shared" si="9"/>
        <v>2042</v>
      </c>
    </row>
    <row r="71" spans="1:6" ht="11.25">
      <c r="A71" s="2">
        <v>7</v>
      </c>
      <c r="B71" s="2">
        <v>10</v>
      </c>
      <c r="C71" s="2">
        <f t="shared" si="6"/>
        <v>252000</v>
      </c>
      <c r="D71" s="2">
        <f t="shared" si="8"/>
        <v>7219800</v>
      </c>
      <c r="E71" s="2">
        <f t="shared" si="7"/>
        <v>198240</v>
      </c>
      <c r="F71" s="105">
        <f t="shared" si="9"/>
        <v>2070</v>
      </c>
    </row>
    <row r="72" spans="1:6" ht="11.25">
      <c r="A72" s="2">
        <v>8</v>
      </c>
      <c r="B72" s="2">
        <v>1</v>
      </c>
      <c r="C72" s="2">
        <f t="shared" si="6"/>
        <v>256200</v>
      </c>
      <c r="D72" s="2">
        <f t="shared" si="8"/>
        <v>7476000</v>
      </c>
      <c r="E72" s="2">
        <f t="shared" si="7"/>
        <v>201600</v>
      </c>
      <c r="F72" s="105">
        <f t="shared" si="9"/>
        <v>2098</v>
      </c>
    </row>
    <row r="73" spans="1:6" ht="11.25">
      <c r="A73" s="2">
        <v>8</v>
      </c>
      <c r="B73" s="2">
        <v>2</v>
      </c>
      <c r="C73" s="2">
        <f t="shared" si="6"/>
        <v>260400</v>
      </c>
      <c r="D73" s="2">
        <f t="shared" si="8"/>
        <v>7736400</v>
      </c>
      <c r="E73" s="2">
        <f t="shared" si="7"/>
        <v>204960</v>
      </c>
      <c r="F73" s="105">
        <f t="shared" si="9"/>
        <v>2126</v>
      </c>
    </row>
    <row r="74" spans="1:6" ht="11.25">
      <c r="A74" s="2">
        <v>8</v>
      </c>
      <c r="B74" s="2">
        <v>3</v>
      </c>
      <c r="C74" s="2">
        <f t="shared" si="6"/>
        <v>264600</v>
      </c>
      <c r="D74" s="2">
        <f t="shared" si="8"/>
        <v>8001000</v>
      </c>
      <c r="E74" s="2">
        <f t="shared" si="7"/>
        <v>208320</v>
      </c>
      <c r="F74" s="105">
        <f t="shared" si="9"/>
        <v>2154</v>
      </c>
    </row>
    <row r="75" spans="1:6" ht="11.25">
      <c r="A75" s="2">
        <v>8</v>
      </c>
      <c r="B75" s="2">
        <v>4</v>
      </c>
      <c r="C75" s="2">
        <f t="shared" si="6"/>
        <v>268800</v>
      </c>
      <c r="D75" s="2">
        <f t="shared" si="8"/>
        <v>8269800</v>
      </c>
      <c r="E75" s="2">
        <f>C74*0.8</f>
        <v>211680</v>
      </c>
      <c r="F75" s="105">
        <f t="shared" si="9"/>
        <v>2182</v>
      </c>
    </row>
    <row r="76" spans="1:6" ht="11.25">
      <c r="A76" s="2">
        <v>8</v>
      </c>
      <c r="B76" s="2">
        <v>5</v>
      </c>
      <c r="C76" s="2">
        <f t="shared" si="6"/>
        <v>273000</v>
      </c>
      <c r="D76" s="2">
        <f t="shared" si="8"/>
        <v>8542800</v>
      </c>
      <c r="E76" s="2">
        <f>C75*0.8</f>
        <v>215040</v>
      </c>
      <c r="F76" s="105">
        <f t="shared" si="9"/>
        <v>2210</v>
      </c>
    </row>
    <row r="77" spans="1:6" ht="11.25">
      <c r="A77" s="2">
        <v>8</v>
      </c>
      <c r="B77" s="2">
        <v>6</v>
      </c>
      <c r="C77" s="2">
        <f t="shared" si="6"/>
        <v>277200</v>
      </c>
      <c r="D77" s="2">
        <f t="shared" si="8"/>
        <v>8820000</v>
      </c>
      <c r="E77" s="2">
        <f>C76*0.8</f>
        <v>218400</v>
      </c>
      <c r="F77" s="105">
        <f t="shared" si="9"/>
        <v>2238</v>
      </c>
    </row>
    <row r="78" spans="1:6" ht="11.25">
      <c r="A78" s="2">
        <v>8</v>
      </c>
      <c r="B78" s="2">
        <v>7</v>
      </c>
      <c r="C78" s="2">
        <f t="shared" si="6"/>
        <v>281400</v>
      </c>
      <c r="D78" s="2">
        <f t="shared" si="8"/>
        <v>9101400</v>
      </c>
      <c r="E78" s="2">
        <f>C77*0.8</f>
        <v>221760</v>
      </c>
      <c r="F78" s="105">
        <f t="shared" si="9"/>
        <v>2266</v>
      </c>
    </row>
    <row r="79" spans="1:6" ht="11.25">
      <c r="A79" s="2">
        <v>8</v>
      </c>
      <c r="B79" s="2">
        <v>8</v>
      </c>
      <c r="C79" s="2">
        <f t="shared" si="6"/>
        <v>285600</v>
      </c>
      <c r="D79" s="2">
        <f t="shared" si="8"/>
        <v>9387000</v>
      </c>
      <c r="E79" s="2">
        <f aca="true" t="shared" si="10" ref="E79:E121">C78*0.8</f>
        <v>225120</v>
      </c>
      <c r="F79" s="105">
        <f t="shared" si="9"/>
        <v>2294</v>
      </c>
    </row>
    <row r="80" spans="1:6" ht="11.25">
      <c r="A80" s="2">
        <v>8</v>
      </c>
      <c r="B80" s="2">
        <v>9</v>
      </c>
      <c r="C80" s="2">
        <f t="shared" si="6"/>
        <v>289800</v>
      </c>
      <c r="D80" s="2">
        <f t="shared" si="8"/>
        <v>9676800</v>
      </c>
      <c r="E80" s="2">
        <f t="shared" si="10"/>
        <v>228480</v>
      </c>
      <c r="F80" s="105">
        <f t="shared" si="9"/>
        <v>2322</v>
      </c>
    </row>
    <row r="81" spans="1:6" ht="11.25">
      <c r="A81" s="2">
        <v>8</v>
      </c>
      <c r="B81" s="2">
        <v>10</v>
      </c>
      <c r="C81" s="2">
        <f t="shared" si="6"/>
        <v>294000</v>
      </c>
      <c r="D81" s="2">
        <f t="shared" si="8"/>
        <v>9970800</v>
      </c>
      <c r="E81" s="2">
        <f t="shared" si="10"/>
        <v>231840</v>
      </c>
      <c r="F81" s="105">
        <f t="shared" si="9"/>
        <v>2350</v>
      </c>
    </row>
    <row r="82" spans="1:6" ht="11.25">
      <c r="A82" s="2">
        <v>9</v>
      </c>
      <c r="B82" s="2">
        <v>1</v>
      </c>
      <c r="C82" s="2">
        <f t="shared" si="6"/>
        <v>298200</v>
      </c>
      <c r="D82" s="2">
        <f t="shared" si="8"/>
        <v>10269000</v>
      </c>
      <c r="E82" s="2">
        <f t="shared" si="10"/>
        <v>235200</v>
      </c>
      <c r="F82" s="105">
        <f t="shared" si="9"/>
        <v>2378</v>
      </c>
    </row>
    <row r="83" spans="1:6" ht="11.25">
      <c r="A83" s="2">
        <v>9</v>
      </c>
      <c r="B83" s="2">
        <v>2</v>
      </c>
      <c r="C83" s="2">
        <f t="shared" si="6"/>
        <v>302400</v>
      </c>
      <c r="D83" s="2">
        <f t="shared" si="8"/>
        <v>10571400</v>
      </c>
      <c r="E83" s="2">
        <f t="shared" si="10"/>
        <v>238560</v>
      </c>
      <c r="F83" s="105">
        <f t="shared" si="9"/>
        <v>2406</v>
      </c>
    </row>
    <row r="84" spans="1:6" ht="11.25">
      <c r="A84" s="2">
        <v>9</v>
      </c>
      <c r="B84" s="2">
        <v>3</v>
      </c>
      <c r="C84" s="2">
        <f t="shared" si="6"/>
        <v>306600</v>
      </c>
      <c r="D84" s="2">
        <f t="shared" si="8"/>
        <v>10878000</v>
      </c>
      <c r="E84" s="2">
        <f t="shared" si="10"/>
        <v>241920</v>
      </c>
      <c r="F84" s="105">
        <f t="shared" si="9"/>
        <v>2434</v>
      </c>
    </row>
    <row r="85" spans="1:6" ht="11.25">
      <c r="A85" s="2">
        <v>9</v>
      </c>
      <c r="B85" s="2">
        <v>4</v>
      </c>
      <c r="C85" s="2">
        <f t="shared" si="6"/>
        <v>310800</v>
      </c>
      <c r="D85" s="2">
        <f t="shared" si="8"/>
        <v>11188800</v>
      </c>
      <c r="E85" s="2">
        <f t="shared" si="10"/>
        <v>245280</v>
      </c>
      <c r="F85" s="105">
        <f t="shared" si="9"/>
        <v>2462</v>
      </c>
    </row>
    <row r="86" spans="1:6" ht="11.25">
      <c r="A86" s="2">
        <v>9</v>
      </c>
      <c r="B86" s="2">
        <v>5</v>
      </c>
      <c r="C86" s="2">
        <f t="shared" si="6"/>
        <v>315000</v>
      </c>
      <c r="D86" s="2">
        <f t="shared" si="8"/>
        <v>11503800</v>
      </c>
      <c r="E86" s="2">
        <f t="shared" si="10"/>
        <v>248640</v>
      </c>
      <c r="F86" s="105">
        <f t="shared" si="9"/>
        <v>2490</v>
      </c>
    </row>
    <row r="87" spans="1:6" ht="11.25">
      <c r="A87" s="2">
        <v>9</v>
      </c>
      <c r="B87" s="2">
        <v>6</v>
      </c>
      <c r="C87" s="2">
        <f t="shared" si="6"/>
        <v>319200</v>
      </c>
      <c r="D87" s="2">
        <f t="shared" si="8"/>
        <v>11823000</v>
      </c>
      <c r="E87" s="2">
        <f t="shared" si="10"/>
        <v>252000</v>
      </c>
      <c r="F87" s="105">
        <f t="shared" si="9"/>
        <v>2518</v>
      </c>
    </row>
    <row r="88" spans="1:6" ht="11.25">
      <c r="A88" s="2">
        <v>9</v>
      </c>
      <c r="B88" s="2">
        <v>7</v>
      </c>
      <c r="C88" s="2">
        <f t="shared" si="6"/>
        <v>323400</v>
      </c>
      <c r="D88" s="2">
        <f t="shared" si="8"/>
        <v>12146400</v>
      </c>
      <c r="E88" s="2">
        <f t="shared" si="10"/>
        <v>255360</v>
      </c>
      <c r="F88" s="105">
        <f t="shared" si="9"/>
        <v>2546</v>
      </c>
    </row>
    <row r="89" spans="1:6" ht="11.25">
      <c r="A89" s="2">
        <v>9</v>
      </c>
      <c r="B89" s="2">
        <v>8</v>
      </c>
      <c r="C89" s="2">
        <f t="shared" si="6"/>
        <v>327600</v>
      </c>
      <c r="D89" s="2">
        <f t="shared" si="8"/>
        <v>12474000</v>
      </c>
      <c r="E89" s="2">
        <f t="shared" si="10"/>
        <v>258720</v>
      </c>
      <c r="F89" s="105">
        <f t="shared" si="9"/>
        <v>2574</v>
      </c>
    </row>
    <row r="90" spans="1:6" ht="11.25">
      <c r="A90" s="2">
        <v>9</v>
      </c>
      <c r="B90" s="2">
        <v>9</v>
      </c>
      <c r="C90" s="2">
        <f t="shared" si="6"/>
        <v>331800</v>
      </c>
      <c r="D90" s="2">
        <f t="shared" si="8"/>
        <v>12805800</v>
      </c>
      <c r="E90" s="2">
        <f t="shared" si="10"/>
        <v>262080</v>
      </c>
      <c r="F90" s="105">
        <f t="shared" si="9"/>
        <v>2602</v>
      </c>
    </row>
    <row r="91" spans="1:6" ht="11.25">
      <c r="A91" s="2">
        <v>9</v>
      </c>
      <c r="B91" s="2">
        <v>10</v>
      </c>
      <c r="C91" s="2">
        <f t="shared" si="6"/>
        <v>336000</v>
      </c>
      <c r="D91" s="2">
        <f t="shared" si="8"/>
        <v>13141800</v>
      </c>
      <c r="E91" s="2">
        <f t="shared" si="10"/>
        <v>265440</v>
      </c>
      <c r="F91" s="105">
        <f t="shared" si="9"/>
        <v>2630</v>
      </c>
    </row>
    <row r="92" spans="1:6" ht="11.25">
      <c r="A92" s="2">
        <v>10</v>
      </c>
      <c r="B92" s="2">
        <v>1</v>
      </c>
      <c r="C92" s="2">
        <f aca="true" t="shared" si="11" ref="C92:C99">C91+J$1*A$92</f>
        <v>346500</v>
      </c>
      <c r="D92" s="2">
        <f t="shared" si="8"/>
        <v>13488300</v>
      </c>
      <c r="E92" s="2">
        <f t="shared" si="10"/>
        <v>268800</v>
      </c>
      <c r="F92" s="105">
        <f t="shared" si="9"/>
        <v>2658</v>
      </c>
    </row>
    <row r="93" spans="1:6" ht="11.25">
      <c r="A93" s="2">
        <v>10</v>
      </c>
      <c r="B93" s="2">
        <v>2</v>
      </c>
      <c r="C93" s="2">
        <f t="shared" si="11"/>
        <v>357000</v>
      </c>
      <c r="D93" s="2">
        <f t="shared" si="8"/>
        <v>13845300</v>
      </c>
      <c r="E93" s="2">
        <f t="shared" si="10"/>
        <v>277200</v>
      </c>
      <c r="F93" s="105">
        <f t="shared" si="9"/>
        <v>2686</v>
      </c>
    </row>
    <row r="94" spans="1:6" ht="11.25">
      <c r="A94" s="2">
        <v>10</v>
      </c>
      <c r="B94" s="2">
        <v>3</v>
      </c>
      <c r="C94" s="2">
        <f t="shared" si="11"/>
        <v>367500</v>
      </c>
      <c r="D94" s="2">
        <f t="shared" si="8"/>
        <v>14212800</v>
      </c>
      <c r="E94" s="2">
        <f t="shared" si="10"/>
        <v>285600</v>
      </c>
      <c r="F94" s="105">
        <f t="shared" si="9"/>
        <v>2714</v>
      </c>
    </row>
    <row r="95" spans="1:6" ht="11.25">
      <c r="A95" s="2">
        <v>10</v>
      </c>
      <c r="B95" s="2">
        <v>4</v>
      </c>
      <c r="C95" s="2">
        <f t="shared" si="11"/>
        <v>378000</v>
      </c>
      <c r="D95" s="2">
        <f t="shared" si="8"/>
        <v>14590800</v>
      </c>
      <c r="E95" s="2">
        <f t="shared" si="10"/>
        <v>294000</v>
      </c>
      <c r="F95" s="105">
        <f t="shared" si="9"/>
        <v>2742</v>
      </c>
    </row>
    <row r="96" spans="1:6" ht="11.25">
      <c r="A96" s="2">
        <v>10</v>
      </c>
      <c r="B96" s="2">
        <v>5</v>
      </c>
      <c r="C96" s="2">
        <f t="shared" si="11"/>
        <v>388500</v>
      </c>
      <c r="D96" s="2">
        <f t="shared" si="8"/>
        <v>14979300</v>
      </c>
      <c r="E96" s="2">
        <f t="shared" si="10"/>
        <v>302400</v>
      </c>
      <c r="F96" s="105">
        <f t="shared" si="9"/>
        <v>2770</v>
      </c>
    </row>
    <row r="97" spans="1:6" ht="11.25">
      <c r="A97" s="2">
        <v>10</v>
      </c>
      <c r="B97" s="2">
        <v>6</v>
      </c>
      <c r="C97" s="2">
        <f t="shared" si="11"/>
        <v>399000</v>
      </c>
      <c r="D97" s="2">
        <f t="shared" si="8"/>
        <v>15378300</v>
      </c>
      <c r="E97" s="2">
        <f t="shared" si="10"/>
        <v>310800</v>
      </c>
      <c r="F97" s="105">
        <f t="shared" si="9"/>
        <v>2798</v>
      </c>
    </row>
    <row r="98" spans="1:6" ht="11.25">
      <c r="A98" s="2">
        <v>10</v>
      </c>
      <c r="B98" s="2">
        <v>7</v>
      </c>
      <c r="C98" s="2">
        <f t="shared" si="11"/>
        <v>409500</v>
      </c>
      <c r="D98" s="2">
        <f t="shared" si="8"/>
        <v>15787800</v>
      </c>
      <c r="E98" s="2">
        <f t="shared" si="10"/>
        <v>319200</v>
      </c>
      <c r="F98" s="105">
        <f t="shared" si="9"/>
        <v>2826</v>
      </c>
    </row>
    <row r="99" spans="1:6" ht="11.25">
      <c r="A99" s="2">
        <v>10</v>
      </c>
      <c r="B99" s="2">
        <v>8</v>
      </c>
      <c r="C99" s="2">
        <f t="shared" si="11"/>
        <v>420000</v>
      </c>
      <c r="D99" s="2">
        <f t="shared" si="8"/>
        <v>16207800</v>
      </c>
      <c r="E99" s="2">
        <f t="shared" si="10"/>
        <v>327600</v>
      </c>
      <c r="F99" s="105">
        <f t="shared" si="9"/>
        <v>2854</v>
      </c>
    </row>
    <row r="100" spans="1:6" ht="11.25">
      <c r="A100" s="2">
        <v>10</v>
      </c>
      <c r="B100" s="2">
        <v>9</v>
      </c>
      <c r="C100" s="2">
        <f>C99+J$1*20</f>
        <v>441000</v>
      </c>
      <c r="D100" s="2">
        <f t="shared" si="8"/>
        <v>16648800</v>
      </c>
      <c r="E100" s="2">
        <f t="shared" si="10"/>
        <v>336000</v>
      </c>
      <c r="F100" s="105">
        <f t="shared" si="9"/>
        <v>2882</v>
      </c>
    </row>
    <row r="101" spans="1:6" ht="11.25">
      <c r="A101" s="2">
        <v>10</v>
      </c>
      <c r="B101" s="2">
        <v>10</v>
      </c>
      <c r="C101" s="2">
        <f>C100+J$1*20</f>
        <v>462000</v>
      </c>
      <c r="D101" s="2">
        <f t="shared" si="8"/>
        <v>17110800</v>
      </c>
      <c r="E101" s="2">
        <f t="shared" si="10"/>
        <v>352800</v>
      </c>
      <c r="F101" s="105">
        <f t="shared" si="9"/>
        <v>2910</v>
      </c>
    </row>
    <row r="102" spans="1:6" ht="11.25">
      <c r="A102" s="2">
        <v>11</v>
      </c>
      <c r="B102" s="105">
        <v>1</v>
      </c>
      <c r="C102" s="105">
        <f>C101+J$1*20</f>
        <v>483000</v>
      </c>
      <c r="D102" s="105">
        <f t="shared" si="8"/>
        <v>17593800</v>
      </c>
      <c r="E102" s="105">
        <f t="shared" si="10"/>
        <v>369600</v>
      </c>
      <c r="F102" s="105">
        <f t="shared" si="9"/>
        <v>2938</v>
      </c>
    </row>
    <row r="103" spans="1:6" ht="11.25">
      <c r="A103" s="105">
        <v>11</v>
      </c>
      <c r="B103" s="105">
        <v>2</v>
      </c>
      <c r="C103" s="105">
        <f aca="true" t="shared" si="12" ref="C103:C121">C102+J$1*20</f>
        <v>504000</v>
      </c>
      <c r="D103" s="105">
        <f t="shared" si="8"/>
        <v>18097800</v>
      </c>
      <c r="E103" s="105">
        <f t="shared" si="10"/>
        <v>386400</v>
      </c>
      <c r="F103" s="105">
        <f t="shared" si="9"/>
        <v>2966</v>
      </c>
    </row>
    <row r="104" spans="1:6" ht="11.25">
      <c r="A104" s="105">
        <v>11</v>
      </c>
      <c r="B104" s="105">
        <v>3</v>
      </c>
      <c r="C104" s="105">
        <f t="shared" si="12"/>
        <v>525000</v>
      </c>
      <c r="D104" s="105">
        <f t="shared" si="8"/>
        <v>18622800</v>
      </c>
      <c r="E104" s="105">
        <f t="shared" si="10"/>
        <v>403200</v>
      </c>
      <c r="F104" s="105">
        <f t="shared" si="9"/>
        <v>2994</v>
      </c>
    </row>
    <row r="105" spans="1:6" ht="11.25">
      <c r="A105" s="105">
        <v>11</v>
      </c>
      <c r="B105" s="105">
        <v>4</v>
      </c>
      <c r="C105" s="105">
        <f t="shared" si="12"/>
        <v>546000</v>
      </c>
      <c r="D105" s="105">
        <f t="shared" si="8"/>
        <v>19168800</v>
      </c>
      <c r="E105" s="105">
        <f t="shared" si="10"/>
        <v>420000</v>
      </c>
      <c r="F105" s="105">
        <f t="shared" si="9"/>
        <v>3022</v>
      </c>
    </row>
    <row r="106" spans="1:6" ht="11.25">
      <c r="A106" s="105">
        <v>11</v>
      </c>
      <c r="B106" s="105">
        <v>5</v>
      </c>
      <c r="C106" s="105">
        <f t="shared" si="12"/>
        <v>567000</v>
      </c>
      <c r="D106" s="105">
        <f t="shared" si="8"/>
        <v>19735800</v>
      </c>
      <c r="E106" s="105">
        <f t="shared" si="10"/>
        <v>436800</v>
      </c>
      <c r="F106" s="105">
        <f t="shared" si="9"/>
        <v>3050</v>
      </c>
    </row>
    <row r="107" spans="1:6" ht="11.25">
      <c r="A107" s="105">
        <v>11</v>
      </c>
      <c r="B107" s="105">
        <v>6</v>
      </c>
      <c r="C107" s="105">
        <f t="shared" si="12"/>
        <v>588000</v>
      </c>
      <c r="D107" s="105">
        <f t="shared" si="8"/>
        <v>20323800</v>
      </c>
      <c r="E107" s="105">
        <f t="shared" si="10"/>
        <v>453600</v>
      </c>
      <c r="F107" s="105">
        <f t="shared" si="9"/>
        <v>3078</v>
      </c>
    </row>
    <row r="108" spans="1:6" ht="11.25">
      <c r="A108" s="105">
        <v>11</v>
      </c>
      <c r="B108" s="105">
        <v>7</v>
      </c>
      <c r="C108" s="105">
        <f t="shared" si="12"/>
        <v>609000</v>
      </c>
      <c r="D108" s="105">
        <f t="shared" si="8"/>
        <v>20932800</v>
      </c>
      <c r="E108" s="105">
        <f t="shared" si="10"/>
        <v>470400</v>
      </c>
      <c r="F108" s="105">
        <f t="shared" si="9"/>
        <v>3106</v>
      </c>
    </row>
    <row r="109" spans="1:6" ht="11.25">
      <c r="A109" s="105">
        <v>11</v>
      </c>
      <c r="B109" s="105">
        <v>8</v>
      </c>
      <c r="C109" s="105">
        <f t="shared" si="12"/>
        <v>630000</v>
      </c>
      <c r="D109" s="105">
        <f t="shared" si="8"/>
        <v>21562800</v>
      </c>
      <c r="E109" s="105">
        <f t="shared" si="10"/>
        <v>487200</v>
      </c>
      <c r="F109" s="105">
        <f t="shared" si="9"/>
        <v>3134</v>
      </c>
    </row>
    <row r="110" spans="1:6" ht="11.25">
      <c r="A110" s="105">
        <v>11</v>
      </c>
      <c r="B110" s="105">
        <v>9</v>
      </c>
      <c r="C110" s="105">
        <f t="shared" si="12"/>
        <v>651000</v>
      </c>
      <c r="D110" s="105">
        <f t="shared" si="8"/>
        <v>22213800</v>
      </c>
      <c r="E110" s="105">
        <f t="shared" si="10"/>
        <v>504000</v>
      </c>
      <c r="F110" s="105">
        <f t="shared" si="9"/>
        <v>3162</v>
      </c>
    </row>
    <row r="111" spans="1:6" ht="11.25">
      <c r="A111" s="105">
        <v>11</v>
      </c>
      <c r="B111" s="105">
        <v>10</v>
      </c>
      <c r="C111" s="105">
        <f t="shared" si="12"/>
        <v>672000</v>
      </c>
      <c r="D111" s="105">
        <f t="shared" si="8"/>
        <v>22885800</v>
      </c>
      <c r="E111" s="105">
        <f t="shared" si="10"/>
        <v>520800</v>
      </c>
      <c r="F111" s="105">
        <f t="shared" si="9"/>
        <v>3190</v>
      </c>
    </row>
    <row r="112" spans="1:6" ht="11.25">
      <c r="A112" s="2">
        <v>12</v>
      </c>
      <c r="B112" s="2">
        <v>1</v>
      </c>
      <c r="C112" s="105">
        <f t="shared" si="12"/>
        <v>693000</v>
      </c>
      <c r="D112" s="105">
        <f t="shared" si="8"/>
        <v>23578800</v>
      </c>
      <c r="E112" s="105">
        <f t="shared" si="10"/>
        <v>537600</v>
      </c>
      <c r="F112" s="105">
        <f t="shared" si="9"/>
        <v>3218</v>
      </c>
    </row>
    <row r="113" spans="1:6" ht="11.25">
      <c r="A113" s="105">
        <v>12</v>
      </c>
      <c r="B113" s="105">
        <v>2</v>
      </c>
      <c r="C113" s="105">
        <f t="shared" si="12"/>
        <v>714000</v>
      </c>
      <c r="D113" s="105">
        <f t="shared" si="8"/>
        <v>24292800</v>
      </c>
      <c r="E113" s="105">
        <f t="shared" si="10"/>
        <v>554400</v>
      </c>
      <c r="F113" s="105">
        <f t="shared" si="9"/>
        <v>3246</v>
      </c>
    </row>
    <row r="114" spans="1:6" ht="11.25">
      <c r="A114" s="105">
        <v>12</v>
      </c>
      <c r="B114" s="105">
        <v>3</v>
      </c>
      <c r="C114" s="105">
        <f t="shared" si="12"/>
        <v>735000</v>
      </c>
      <c r="D114" s="105">
        <f t="shared" si="8"/>
        <v>25027800</v>
      </c>
      <c r="E114" s="105">
        <f t="shared" si="10"/>
        <v>571200</v>
      </c>
      <c r="F114" s="105">
        <f t="shared" si="9"/>
        <v>3274</v>
      </c>
    </row>
    <row r="115" spans="1:6" ht="11.25">
      <c r="A115" s="105">
        <v>12</v>
      </c>
      <c r="B115" s="105">
        <v>4</v>
      </c>
      <c r="C115" s="105">
        <f t="shared" si="12"/>
        <v>756000</v>
      </c>
      <c r="D115" s="105">
        <f t="shared" si="8"/>
        <v>25783800</v>
      </c>
      <c r="E115" s="105">
        <f t="shared" si="10"/>
        <v>588000</v>
      </c>
      <c r="F115" s="105">
        <f t="shared" si="9"/>
        <v>3302</v>
      </c>
    </row>
    <row r="116" spans="1:6" ht="11.25">
      <c r="A116" s="105">
        <v>12</v>
      </c>
      <c r="B116" s="105">
        <v>5</v>
      </c>
      <c r="C116" s="105">
        <f t="shared" si="12"/>
        <v>777000</v>
      </c>
      <c r="D116" s="105">
        <f t="shared" si="8"/>
        <v>26560800</v>
      </c>
      <c r="E116" s="105">
        <f t="shared" si="10"/>
        <v>604800</v>
      </c>
      <c r="F116" s="105">
        <f t="shared" si="9"/>
        <v>3330</v>
      </c>
    </row>
    <row r="117" spans="1:6" ht="11.25">
      <c r="A117" s="105">
        <v>12</v>
      </c>
      <c r="B117" s="105">
        <v>6</v>
      </c>
      <c r="C117" s="105">
        <f t="shared" si="12"/>
        <v>798000</v>
      </c>
      <c r="D117" s="105">
        <f t="shared" si="8"/>
        <v>27358800</v>
      </c>
      <c r="E117" s="105">
        <f t="shared" si="10"/>
        <v>621600</v>
      </c>
      <c r="F117" s="105">
        <f t="shared" si="9"/>
        <v>3358</v>
      </c>
    </row>
    <row r="118" spans="1:6" ht="11.25">
      <c r="A118" s="105">
        <v>12</v>
      </c>
      <c r="B118" s="105">
        <v>7</v>
      </c>
      <c r="C118" s="105">
        <f t="shared" si="12"/>
        <v>819000</v>
      </c>
      <c r="D118" s="105">
        <f t="shared" si="8"/>
        <v>28177800</v>
      </c>
      <c r="E118" s="105">
        <f t="shared" si="10"/>
        <v>638400</v>
      </c>
      <c r="F118" s="105">
        <f t="shared" si="9"/>
        <v>3386</v>
      </c>
    </row>
    <row r="119" spans="1:6" ht="11.25">
      <c r="A119" s="105">
        <v>12</v>
      </c>
      <c r="B119" s="105">
        <v>8</v>
      </c>
      <c r="C119" s="105">
        <f t="shared" si="12"/>
        <v>840000</v>
      </c>
      <c r="D119" s="105">
        <f t="shared" si="8"/>
        <v>29017800</v>
      </c>
      <c r="E119" s="105">
        <f t="shared" si="10"/>
        <v>655200</v>
      </c>
      <c r="F119" s="105">
        <f t="shared" si="9"/>
        <v>3414</v>
      </c>
    </row>
    <row r="120" spans="1:6" ht="11.25">
      <c r="A120" s="105">
        <v>12</v>
      </c>
      <c r="B120" s="105">
        <v>9</v>
      </c>
      <c r="C120" s="105">
        <f t="shared" si="12"/>
        <v>861000</v>
      </c>
      <c r="D120" s="105">
        <f t="shared" si="8"/>
        <v>29878800</v>
      </c>
      <c r="E120" s="105">
        <f t="shared" si="10"/>
        <v>672000</v>
      </c>
      <c r="F120" s="105">
        <f t="shared" si="9"/>
        <v>3442</v>
      </c>
    </row>
    <row r="121" spans="1:7" ht="11.25">
      <c r="A121" s="105">
        <v>12</v>
      </c>
      <c r="B121" s="105">
        <v>10</v>
      </c>
      <c r="C121" s="105">
        <f t="shared" si="12"/>
        <v>882000</v>
      </c>
      <c r="D121" s="105">
        <f t="shared" si="8"/>
        <v>30760800</v>
      </c>
      <c r="E121" s="105">
        <f t="shared" si="10"/>
        <v>688800</v>
      </c>
      <c r="F121" s="105">
        <f t="shared" si="9"/>
        <v>3470</v>
      </c>
      <c r="G121" s="105">
        <f>(F121/D121)*1000</f>
        <v>0.1128059088190164</v>
      </c>
    </row>
  </sheetData>
  <sheetProtection/>
  <mergeCells count="6">
    <mergeCell ref="Q2:R2"/>
    <mergeCell ref="S2:T2"/>
    <mergeCell ref="U2:V2"/>
    <mergeCell ref="W2:X2"/>
    <mergeCell ref="Y2:Z2"/>
    <mergeCell ref="AA2:AB2"/>
  </mergeCells>
  <printOptions/>
  <pageMargins left="0.7" right="0.7" top="0.75" bottom="0.75" header="0.3" footer="0.3"/>
  <pageSetup orientation="portrait" paperSize="9"/>
  <ignoredErrors>
    <ignoredError sqref="C19 C5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">
      <selection activeCell="J23" sqref="J23"/>
    </sheetView>
  </sheetViews>
  <sheetFormatPr defaultColWidth="11.421875" defaultRowHeight="15"/>
  <cols>
    <col min="1" max="1" width="8.140625" style="2" bestFit="1" customWidth="1"/>
    <col min="2" max="2" width="7.00390625" style="2" bestFit="1" customWidth="1"/>
    <col min="3" max="3" width="7.8515625" style="2" bestFit="1" customWidth="1"/>
    <col min="4" max="4" width="8.8515625" style="2" bestFit="1" customWidth="1"/>
    <col min="5" max="5" width="3.57421875" style="2" bestFit="1" customWidth="1"/>
    <col min="6" max="6" width="5.00390625" style="2" bestFit="1" customWidth="1"/>
    <col min="7" max="7" width="4.421875" style="1" customWidth="1"/>
    <col min="8" max="8" width="9.8515625" style="2" bestFit="1" customWidth="1"/>
    <col min="9" max="9" width="7.00390625" style="2" bestFit="1" customWidth="1"/>
    <col min="10" max="10" width="11.28125" style="2" bestFit="1" customWidth="1"/>
    <col min="11" max="11" width="13.140625" style="2" bestFit="1" customWidth="1"/>
    <col min="12" max="12" width="8.7109375" style="2" bestFit="1" customWidth="1"/>
    <col min="13" max="13" width="9.421875" style="1" bestFit="1" customWidth="1"/>
    <col min="14" max="14" width="31.8515625" style="1" bestFit="1" customWidth="1"/>
    <col min="15" max="15" width="4.421875" style="105" bestFit="1" customWidth="1"/>
    <col min="16" max="16" width="6.8515625" style="105" bestFit="1" customWidth="1"/>
    <col min="17" max="16384" width="11.421875" style="1" customWidth="1"/>
  </cols>
  <sheetData>
    <row r="1" spans="1:12" ht="11.25">
      <c r="A1" s="6" t="s">
        <v>173</v>
      </c>
      <c r="B1" s="6" t="s">
        <v>176</v>
      </c>
      <c r="C1" s="6" t="s">
        <v>187</v>
      </c>
      <c r="D1" s="6" t="s">
        <v>433</v>
      </c>
      <c r="E1" s="6" t="s">
        <v>428</v>
      </c>
      <c r="F1" s="6" t="s">
        <v>936</v>
      </c>
      <c r="G1" s="9"/>
      <c r="H1" s="15" t="s">
        <v>173</v>
      </c>
      <c r="I1" s="12">
        <v>74</v>
      </c>
      <c r="J1" s="12"/>
      <c r="K1" s="12" t="s">
        <v>448</v>
      </c>
      <c r="L1" s="12">
        <f>(((VLOOKUP((I2-1),A2:C121,3)-VLOOKUP((I1-1),A2:C121,3))-I3)-J6)</f>
        <v>142072</v>
      </c>
    </row>
    <row r="2" spans="1:18" ht="11.25">
      <c r="A2" s="2">
        <v>1</v>
      </c>
      <c r="B2" s="2">
        <v>45</v>
      </c>
      <c r="C2" s="2">
        <f>B2</f>
        <v>45</v>
      </c>
      <c r="D2" s="2">
        <v>84</v>
      </c>
      <c r="E2" s="2">
        <v>3</v>
      </c>
      <c r="F2" s="105">
        <f>D2/E2</f>
        <v>28</v>
      </c>
      <c r="G2" s="9"/>
      <c r="H2" s="15" t="s">
        <v>429</v>
      </c>
      <c r="I2" s="12">
        <v>75</v>
      </c>
      <c r="J2" s="12"/>
      <c r="K2" s="12" t="s">
        <v>449</v>
      </c>
      <c r="L2" s="12">
        <f>ROUNDUP(L1/VLOOKUP(I4,A2:D121,4),1)</f>
        <v>12.799999999999999</v>
      </c>
      <c r="R2" s="1" t="str">
        <f>CONCATENATE("Niveau ",A2," : ",B2," / ",C2," / ",D2," / ",E2," Laurels.")</f>
        <v>Niveau 1 : 45 / 45 / 84 / 3 Laurels.</v>
      </c>
    </row>
    <row r="3" spans="1:18" ht="11.25">
      <c r="A3" s="2">
        <v>2</v>
      </c>
      <c r="B3" s="2">
        <v>180</v>
      </c>
      <c r="C3" s="2">
        <f>C2+B3</f>
        <v>225</v>
      </c>
      <c r="D3" s="2">
        <v>144</v>
      </c>
      <c r="E3" s="2">
        <v>5</v>
      </c>
      <c r="F3" s="2">
        <f>D3/E3</f>
        <v>28.8</v>
      </c>
      <c r="G3" s="9"/>
      <c r="H3" s="15" t="s">
        <v>430</v>
      </c>
      <c r="I3" s="12">
        <v>2456</v>
      </c>
      <c r="J3" s="12">
        <f>((VLOOKUP((I2-1),A2:C121,3)-VLOOKUP((I1-1),A2:C121,3))-I3)</f>
        <v>231544</v>
      </c>
      <c r="K3" s="12" t="s">
        <v>450</v>
      </c>
      <c r="L3" s="12">
        <f>ROUNDUP(L2/8,1)</f>
        <v>1.6</v>
      </c>
      <c r="R3" s="1" t="str">
        <f aca="true" t="shared" si="0" ref="R3:R66">CONCATENATE("Niveau ",A3," : ",B3," / ",C3," / ",D3," / ",E3," Laurels.")</f>
        <v>Niveau 2 : 180 / 225 / 144 / 5 Laurels.</v>
      </c>
    </row>
    <row r="4" spans="1:18" ht="11.25">
      <c r="A4" s="2">
        <v>3</v>
      </c>
      <c r="B4" s="2">
        <v>450</v>
      </c>
      <c r="C4" s="2">
        <f aca="true" t="shared" si="1" ref="C4:C67">C3+B4</f>
        <v>675</v>
      </c>
      <c r="D4" s="2">
        <v>204</v>
      </c>
      <c r="E4" s="2">
        <v>7</v>
      </c>
      <c r="F4" s="2">
        <f aca="true" t="shared" si="2" ref="F4:F67">D4/E4</f>
        <v>29.142857142857142</v>
      </c>
      <c r="G4" s="9"/>
      <c r="H4" s="12" t="s">
        <v>186</v>
      </c>
      <c r="I4" s="12">
        <v>82</v>
      </c>
      <c r="J4" s="12"/>
      <c r="K4" s="12" t="s">
        <v>451</v>
      </c>
      <c r="L4" s="12">
        <f>ROUNDUP(L2/24,1)</f>
        <v>0.6</v>
      </c>
      <c r="R4" s="1" t="str">
        <f t="shared" si="0"/>
        <v>Niveau 3 : 450 / 675 / 204 / 7 Laurels.</v>
      </c>
    </row>
    <row r="5" spans="1:18" ht="11.25">
      <c r="A5" s="2">
        <v>4</v>
      </c>
      <c r="B5" s="2">
        <v>720</v>
      </c>
      <c r="C5" s="2">
        <f t="shared" si="1"/>
        <v>1395</v>
      </c>
      <c r="D5" s="2">
        <v>263</v>
      </c>
      <c r="E5" s="2">
        <v>10</v>
      </c>
      <c r="F5" s="2">
        <f t="shared" si="2"/>
        <v>26.3</v>
      </c>
      <c r="H5" s="12" t="s">
        <v>431</v>
      </c>
      <c r="I5" s="12">
        <v>8</v>
      </c>
      <c r="R5" s="1" t="str">
        <f t="shared" si="0"/>
        <v>Niveau 4 : 720 / 1395 / 263 / 10 Laurels.</v>
      </c>
    </row>
    <row r="6" spans="1:18" ht="11.25">
      <c r="A6" s="2">
        <v>5</v>
      </c>
      <c r="B6" s="2">
        <v>900</v>
      </c>
      <c r="C6" s="2">
        <f t="shared" si="1"/>
        <v>2295</v>
      </c>
      <c r="D6" s="2">
        <v>323</v>
      </c>
      <c r="E6" s="2">
        <v>12</v>
      </c>
      <c r="F6" s="2">
        <f t="shared" si="2"/>
        <v>26.916666666666668</v>
      </c>
      <c r="G6" s="9"/>
      <c r="H6" s="12" t="s">
        <v>432</v>
      </c>
      <c r="I6" s="12">
        <v>100</v>
      </c>
      <c r="J6" s="2">
        <f>I5*(VLOOKUP(I4,A2:D121,4))*(I6/100)</f>
        <v>89472</v>
      </c>
      <c r="K6" s="2">
        <f>J3/J6</f>
        <v>2.587893419170243</v>
      </c>
      <c r="R6" s="1" t="str">
        <f t="shared" si="0"/>
        <v>Niveau 5 : 900 / 2295 / 323 / 12 Laurels.</v>
      </c>
    </row>
    <row r="7" spans="1:18" ht="11.25">
      <c r="A7" s="2">
        <v>6</v>
      </c>
      <c r="B7" s="2">
        <v>1800</v>
      </c>
      <c r="C7" s="2">
        <f t="shared" si="1"/>
        <v>4095</v>
      </c>
      <c r="D7" s="2">
        <v>383</v>
      </c>
      <c r="E7" s="2">
        <v>15</v>
      </c>
      <c r="F7" s="2">
        <f t="shared" si="2"/>
        <v>25.533333333333335</v>
      </c>
      <c r="G7" s="9"/>
      <c r="H7" s="12" t="s">
        <v>447</v>
      </c>
      <c r="I7" s="12">
        <f>INT(I5/(1/6))*VLOOKUP(I4,A2:E121,5)</f>
        <v>22320</v>
      </c>
      <c r="J7" s="2" t="str">
        <f>CONCATENATE(INT(I5/(1/6))," Fast Tracks")</f>
        <v>48 Fast Tracks</v>
      </c>
      <c r="R7" s="1" t="str">
        <f t="shared" si="0"/>
        <v>Niveau 6 : 1800 / 4095 / 383 / 15 Laurels.</v>
      </c>
    </row>
    <row r="8" spans="1:18" ht="11.25">
      <c r="A8" s="2">
        <v>7</v>
      </c>
      <c r="B8" s="2">
        <v>2700</v>
      </c>
      <c r="C8" s="2">
        <f t="shared" si="1"/>
        <v>6795</v>
      </c>
      <c r="D8" s="2">
        <v>443</v>
      </c>
      <c r="E8" s="2">
        <v>17</v>
      </c>
      <c r="F8" s="2">
        <f t="shared" si="2"/>
        <v>26.058823529411764</v>
      </c>
      <c r="G8" s="70"/>
      <c r="H8" s="12" t="s">
        <v>1477</v>
      </c>
      <c r="I8" s="12">
        <v>72</v>
      </c>
      <c r="J8" s="2" t="str">
        <f>CONCATENATE(I8*VLOOKUP(I4,A2:E121,5)," Laurels")</f>
        <v>33480 Laurels</v>
      </c>
      <c r="K8" s="2" t="str">
        <f>CONCATENATE(I8*VLOOKUP(I4,A2:D121,4)," Xp")</f>
        <v>805248 Xp</v>
      </c>
      <c r="R8" s="1" t="str">
        <f t="shared" si="0"/>
        <v>Niveau 7 : 2700 / 6795 / 443 / 17 Laurels.</v>
      </c>
    </row>
    <row r="9" spans="1:18" ht="11.25">
      <c r="A9" s="2">
        <v>8</v>
      </c>
      <c r="B9" s="2">
        <v>3600</v>
      </c>
      <c r="C9" s="2">
        <f t="shared" si="1"/>
        <v>10395</v>
      </c>
      <c r="D9" s="2">
        <v>503</v>
      </c>
      <c r="E9" s="2">
        <v>20</v>
      </c>
      <c r="F9" s="2">
        <f t="shared" si="2"/>
        <v>25.15</v>
      </c>
      <c r="H9" s="12" t="s">
        <v>446</v>
      </c>
      <c r="I9" s="12">
        <v>34</v>
      </c>
      <c r="J9" s="2">
        <f>ROUNDUP(I9/60,2)</f>
        <v>0.5700000000000001</v>
      </c>
      <c r="R9" s="1" t="str">
        <f t="shared" si="0"/>
        <v>Niveau 8 : 3600 / 10395 / 503 / 20 Laurels.</v>
      </c>
    </row>
    <row r="10" spans="1:18" ht="11.25">
      <c r="A10" s="2">
        <v>9</v>
      </c>
      <c r="B10" s="2">
        <v>4500</v>
      </c>
      <c r="C10" s="2">
        <f t="shared" si="1"/>
        <v>14895</v>
      </c>
      <c r="D10" s="2">
        <v>564</v>
      </c>
      <c r="E10" s="2">
        <v>22</v>
      </c>
      <c r="F10" s="2">
        <f t="shared" si="2"/>
        <v>25.636363636363637</v>
      </c>
      <c r="R10" s="1" t="str">
        <f t="shared" si="0"/>
        <v>Niveau 9 : 4500 / 14895 / 564 / 22 Laurels.</v>
      </c>
    </row>
    <row r="11" spans="1:18" ht="11.25">
      <c r="A11" s="2">
        <v>10</v>
      </c>
      <c r="B11" s="2">
        <v>5400</v>
      </c>
      <c r="C11" s="2">
        <f t="shared" si="1"/>
        <v>20295</v>
      </c>
      <c r="D11" s="2">
        <v>624</v>
      </c>
      <c r="E11" s="2">
        <v>24</v>
      </c>
      <c r="F11" s="2">
        <f t="shared" si="2"/>
        <v>26</v>
      </c>
      <c r="H11" s="105" t="s">
        <v>1519</v>
      </c>
      <c r="I11" s="105" t="s">
        <v>26</v>
      </c>
      <c r="P11" s="105" t="s">
        <v>1510</v>
      </c>
      <c r="R11" s="1" t="str">
        <f t="shared" si="0"/>
        <v>Niveau 10 : 5400 / 20295 / 624 / 24 Laurels.</v>
      </c>
    </row>
    <row r="12" spans="1:18" ht="11.25">
      <c r="A12" s="2">
        <v>11</v>
      </c>
      <c r="B12" s="2">
        <v>6300</v>
      </c>
      <c r="C12" s="2">
        <f t="shared" si="1"/>
        <v>26595</v>
      </c>
      <c r="D12" s="2">
        <v>684</v>
      </c>
      <c r="E12" s="2">
        <v>27</v>
      </c>
      <c r="F12" s="2">
        <f t="shared" si="2"/>
        <v>25.333333333333332</v>
      </c>
      <c r="H12" s="105" t="s">
        <v>1520</v>
      </c>
      <c r="I12" s="105" t="s">
        <v>26</v>
      </c>
      <c r="L12" s="2">
        <v>5</v>
      </c>
      <c r="M12" s="1" t="s">
        <v>1519</v>
      </c>
      <c r="N12" s="1" t="s">
        <v>1552</v>
      </c>
      <c r="O12" s="105">
        <v>400</v>
      </c>
      <c r="P12" s="105">
        <f>O12*0.9</f>
        <v>360</v>
      </c>
      <c r="R12" s="1" t="str">
        <f t="shared" si="0"/>
        <v>Niveau 11 : 6300 / 26595 / 684 / 27 Laurels.</v>
      </c>
    </row>
    <row r="13" spans="1:18" ht="11.25">
      <c r="A13" s="2">
        <v>12</v>
      </c>
      <c r="B13" s="2">
        <v>7200</v>
      </c>
      <c r="C13" s="2">
        <f t="shared" si="1"/>
        <v>33795</v>
      </c>
      <c r="D13" s="2">
        <v>744</v>
      </c>
      <c r="E13" s="2">
        <v>30</v>
      </c>
      <c r="F13" s="2">
        <f t="shared" si="2"/>
        <v>24.8</v>
      </c>
      <c r="H13" s="105" t="s">
        <v>1544</v>
      </c>
      <c r="I13" s="105" t="s">
        <v>26</v>
      </c>
      <c r="L13" s="2">
        <v>6</v>
      </c>
      <c r="M13" s="1" t="s">
        <v>1520</v>
      </c>
      <c r="N13" s="1" t="s">
        <v>1553</v>
      </c>
      <c r="O13" s="105">
        <v>1000</v>
      </c>
      <c r="P13" s="105">
        <f aca="true" t="shared" si="3" ref="P13:P26">O13*0.9</f>
        <v>900</v>
      </c>
      <c r="R13" s="1" t="str">
        <f t="shared" si="0"/>
        <v>Niveau 12 : 7200 / 33795 / 744 / 30 Laurels.</v>
      </c>
    </row>
    <row r="14" spans="1:18" ht="11.25">
      <c r="A14" s="2">
        <v>13</v>
      </c>
      <c r="B14" s="2">
        <v>8100</v>
      </c>
      <c r="C14" s="2">
        <f t="shared" si="1"/>
        <v>41895</v>
      </c>
      <c r="D14" s="2">
        <v>804</v>
      </c>
      <c r="E14" s="2">
        <v>32</v>
      </c>
      <c r="F14" s="2">
        <f t="shared" si="2"/>
        <v>25.125</v>
      </c>
      <c r="H14" s="105" t="s">
        <v>1546</v>
      </c>
      <c r="I14" s="105" t="s">
        <v>26</v>
      </c>
      <c r="L14" s="2">
        <v>9</v>
      </c>
      <c r="M14" s="1" t="s">
        <v>1544</v>
      </c>
      <c r="N14" s="1" t="s">
        <v>1554</v>
      </c>
      <c r="O14" s="105">
        <v>400</v>
      </c>
      <c r="P14" s="105">
        <f t="shared" si="3"/>
        <v>360</v>
      </c>
      <c r="R14" s="1" t="str">
        <f t="shared" si="0"/>
        <v>Niveau 13 : 8100 / 41895 / 804 / 32 Laurels.</v>
      </c>
    </row>
    <row r="15" spans="1:18" ht="11.25">
      <c r="A15" s="6">
        <v>14</v>
      </c>
      <c r="B15" s="6">
        <v>9000</v>
      </c>
      <c r="C15" s="6">
        <f t="shared" si="1"/>
        <v>50895</v>
      </c>
      <c r="D15" s="6">
        <v>864</v>
      </c>
      <c r="E15" s="6">
        <v>34</v>
      </c>
      <c r="F15" s="6">
        <f t="shared" si="2"/>
        <v>25.41176470588235</v>
      </c>
      <c r="H15" s="105" t="s">
        <v>1547</v>
      </c>
      <c r="I15" s="105" t="s">
        <v>26</v>
      </c>
      <c r="L15" s="2">
        <v>10</v>
      </c>
      <c r="M15" s="1" t="s">
        <v>1545</v>
      </c>
      <c r="N15" s="1" t="s">
        <v>1555</v>
      </c>
      <c r="O15" s="105">
        <v>800</v>
      </c>
      <c r="P15" s="105">
        <f t="shared" si="3"/>
        <v>720</v>
      </c>
      <c r="R15" s="1" t="str">
        <f t="shared" si="0"/>
        <v>Niveau 14 : 9000 / 50895 / 864 / 34 Laurels.</v>
      </c>
    </row>
    <row r="16" spans="1:18" ht="11.25">
      <c r="A16" s="2">
        <v>15</v>
      </c>
      <c r="B16" s="2">
        <v>10800</v>
      </c>
      <c r="C16" s="2">
        <f t="shared" si="1"/>
        <v>61695</v>
      </c>
      <c r="D16" s="2">
        <v>924</v>
      </c>
      <c r="E16" s="2">
        <v>37</v>
      </c>
      <c r="F16" s="2">
        <f t="shared" si="2"/>
        <v>24.972972972972972</v>
      </c>
      <c r="H16" s="105" t="s">
        <v>1571</v>
      </c>
      <c r="I16" s="2">
        <f>(VLOOKUP(I4,A2:D121,4))*((((IF(I11="x",10,1))+(IF(I12="x",20,1)))/100)+1)</f>
        <v>14539.2</v>
      </c>
      <c r="J16" s="2">
        <f>J3/I16</f>
        <v>15.925497964124572</v>
      </c>
      <c r="L16" s="2">
        <v>11</v>
      </c>
      <c r="M16" s="1" t="s">
        <v>1546</v>
      </c>
      <c r="N16" s="1" t="s">
        <v>1556</v>
      </c>
      <c r="O16" s="105">
        <v>1000</v>
      </c>
      <c r="P16" s="105">
        <f t="shared" si="3"/>
        <v>900</v>
      </c>
      <c r="R16" s="1" t="str">
        <f t="shared" si="0"/>
        <v>Niveau 15 : 10800 / 61695 / 924 / 37 Laurels.</v>
      </c>
    </row>
    <row r="17" spans="1:18" ht="11.25">
      <c r="A17" s="2">
        <v>16</v>
      </c>
      <c r="B17" s="2">
        <v>12600</v>
      </c>
      <c r="C17" s="2">
        <f t="shared" si="1"/>
        <v>74295</v>
      </c>
      <c r="D17" s="2">
        <v>984</v>
      </c>
      <c r="E17" s="2">
        <v>40</v>
      </c>
      <c r="F17" s="2">
        <f t="shared" si="2"/>
        <v>24.6</v>
      </c>
      <c r="I17" s="2">
        <v>48720</v>
      </c>
      <c r="J17" s="2">
        <f>J3/I17</f>
        <v>4.752545155993432</v>
      </c>
      <c r="L17" s="2">
        <v>12</v>
      </c>
      <c r="M17" s="1" t="s">
        <v>1547</v>
      </c>
      <c r="N17" s="1" t="s">
        <v>1557</v>
      </c>
      <c r="O17" s="105">
        <v>2400</v>
      </c>
      <c r="P17" s="105">
        <f t="shared" si="3"/>
        <v>2160</v>
      </c>
      <c r="R17" s="1" t="str">
        <f t="shared" si="0"/>
        <v>Niveau 16 : 12600 / 74295 / 984 / 40 Laurels.</v>
      </c>
    </row>
    <row r="18" spans="1:18" ht="11.25">
      <c r="A18" s="2">
        <v>17</v>
      </c>
      <c r="B18" s="2">
        <v>14400</v>
      </c>
      <c r="C18" s="2">
        <f t="shared" si="1"/>
        <v>88695</v>
      </c>
      <c r="D18" s="2">
        <v>1044</v>
      </c>
      <c r="E18" s="2">
        <v>42</v>
      </c>
      <c r="F18" s="2">
        <f t="shared" si="2"/>
        <v>24.857142857142858</v>
      </c>
      <c r="H18" s="105" t="s">
        <v>1570</v>
      </c>
      <c r="I18" s="2">
        <f>(VLOOKUP(I4,A2:D121,4))*((((IF(I11="x",10,1))+(IF(I12="x",20,1)))/100)+1)*((((IF(I13="x",50,1))+(IF(I14="x",50,1))+(IF(I15="x",100,1)))/100)+1)</f>
        <v>43617.600000000006</v>
      </c>
      <c r="J18" s="2">
        <f>J3/I18</f>
        <v>5.308499321374857</v>
      </c>
      <c r="M18" s="1" t="s">
        <v>1548</v>
      </c>
      <c r="N18" s="1" t="s">
        <v>1558</v>
      </c>
      <c r="O18" s="105">
        <v>200</v>
      </c>
      <c r="P18" s="105">
        <f t="shared" si="3"/>
        <v>180</v>
      </c>
      <c r="R18" s="1" t="str">
        <f t="shared" si="0"/>
        <v>Niveau 17 : 14400 / 88695 / 1044 / 42 Laurels.</v>
      </c>
    </row>
    <row r="19" spans="1:18" ht="11.25">
      <c r="A19" s="2">
        <v>18</v>
      </c>
      <c r="B19" s="2">
        <v>16200</v>
      </c>
      <c r="C19" s="2">
        <f t="shared" si="1"/>
        <v>104895</v>
      </c>
      <c r="D19" s="2">
        <v>1104</v>
      </c>
      <c r="E19" s="2">
        <v>45</v>
      </c>
      <c r="F19" s="2">
        <f t="shared" si="2"/>
        <v>24.533333333333335</v>
      </c>
      <c r="M19" s="1" t="s">
        <v>1448</v>
      </c>
      <c r="N19" s="1" t="s">
        <v>1559</v>
      </c>
      <c r="O19" s="105">
        <v>300</v>
      </c>
      <c r="P19" s="105">
        <f t="shared" si="3"/>
        <v>270</v>
      </c>
      <c r="R19" s="1" t="str">
        <f t="shared" si="0"/>
        <v>Niveau 18 : 16200 / 104895 / 1104 / 45 Laurels.</v>
      </c>
    </row>
    <row r="20" spans="1:18" ht="11.25">
      <c r="A20" s="2">
        <v>19</v>
      </c>
      <c r="B20" s="2">
        <v>18000</v>
      </c>
      <c r="C20" s="2">
        <f t="shared" si="1"/>
        <v>122895</v>
      </c>
      <c r="D20" s="2">
        <v>1164</v>
      </c>
      <c r="E20" s="2">
        <v>47</v>
      </c>
      <c r="F20" s="2">
        <f t="shared" si="2"/>
        <v>24.76595744680851</v>
      </c>
      <c r="L20" s="2">
        <v>7</v>
      </c>
      <c r="M20" s="1" t="s">
        <v>1549</v>
      </c>
      <c r="N20" s="1" t="s">
        <v>1560</v>
      </c>
      <c r="O20" s="105">
        <v>800</v>
      </c>
      <c r="P20" s="105">
        <f t="shared" si="3"/>
        <v>720</v>
      </c>
      <c r="R20" s="1" t="str">
        <f t="shared" si="0"/>
        <v>Niveau 19 : 18000 / 122895 / 1164 / 47 Laurels.</v>
      </c>
    </row>
    <row r="21" spans="1:18" ht="11.25">
      <c r="A21" s="2">
        <v>20</v>
      </c>
      <c r="B21" s="2">
        <v>19800</v>
      </c>
      <c r="C21" s="2">
        <f t="shared" si="1"/>
        <v>142695</v>
      </c>
      <c r="D21" s="2">
        <v>1224</v>
      </c>
      <c r="E21" s="2">
        <v>50</v>
      </c>
      <c r="F21" s="2">
        <f t="shared" si="2"/>
        <v>24.48</v>
      </c>
      <c r="L21" s="2">
        <v>8</v>
      </c>
      <c r="M21" s="1" t="s">
        <v>1327</v>
      </c>
      <c r="N21" s="1" t="s">
        <v>1561</v>
      </c>
      <c r="O21" s="105">
        <v>1600</v>
      </c>
      <c r="P21" s="105">
        <f t="shared" si="3"/>
        <v>1440</v>
      </c>
      <c r="R21" s="1" t="str">
        <f t="shared" si="0"/>
        <v>Niveau 20 : 19800 / 142695 / 1224 / 50 Laurels.</v>
      </c>
    </row>
    <row r="22" spans="1:18" ht="11.25">
      <c r="A22" s="2">
        <v>21</v>
      </c>
      <c r="B22" s="2">
        <v>21600</v>
      </c>
      <c r="C22" s="2">
        <f t="shared" si="1"/>
        <v>164295</v>
      </c>
      <c r="D22" s="2">
        <v>1344</v>
      </c>
      <c r="E22" s="2">
        <v>55</v>
      </c>
      <c r="F22" s="2">
        <f t="shared" si="2"/>
        <v>24.436363636363637</v>
      </c>
      <c r="M22" s="1" t="s">
        <v>1485</v>
      </c>
      <c r="N22" s="1" t="s">
        <v>1562</v>
      </c>
      <c r="O22" s="105">
        <v>1600</v>
      </c>
      <c r="P22" s="105">
        <f t="shared" si="3"/>
        <v>1440</v>
      </c>
      <c r="R22" s="1" t="str">
        <f t="shared" si="0"/>
        <v>Niveau 21 : 21600 / 164295 / 1344 / 55 Laurels.</v>
      </c>
    </row>
    <row r="23" spans="1:18" ht="11.25">
      <c r="A23" s="2">
        <v>22</v>
      </c>
      <c r="B23" s="2">
        <v>23400</v>
      </c>
      <c r="C23" s="2">
        <f t="shared" si="1"/>
        <v>187695</v>
      </c>
      <c r="D23" s="2">
        <v>1464</v>
      </c>
      <c r="E23" s="2">
        <v>60</v>
      </c>
      <c r="F23" s="2">
        <f t="shared" si="2"/>
        <v>24.4</v>
      </c>
      <c r="M23" s="1" t="s">
        <v>1550</v>
      </c>
      <c r="N23" s="1" t="s">
        <v>1563</v>
      </c>
      <c r="O23" s="105">
        <v>1000</v>
      </c>
      <c r="P23" s="105">
        <f t="shared" si="3"/>
        <v>900</v>
      </c>
      <c r="R23" s="1" t="str">
        <f t="shared" si="0"/>
        <v>Niveau 22 : 23400 / 187695 / 1464 / 60 Laurels.</v>
      </c>
    </row>
    <row r="24" spans="1:18" ht="11.25">
      <c r="A24" s="2">
        <v>23</v>
      </c>
      <c r="B24" s="2">
        <v>25200</v>
      </c>
      <c r="C24" s="2">
        <f t="shared" si="1"/>
        <v>212895</v>
      </c>
      <c r="D24" s="2">
        <v>1584</v>
      </c>
      <c r="E24" s="2">
        <v>65</v>
      </c>
      <c r="F24" s="2">
        <f t="shared" si="2"/>
        <v>24.369230769230768</v>
      </c>
      <c r="L24" s="2">
        <v>1</v>
      </c>
      <c r="M24" s="1" t="s">
        <v>1446</v>
      </c>
      <c r="N24" s="1" t="s">
        <v>1564</v>
      </c>
      <c r="O24" s="105">
        <v>50</v>
      </c>
      <c r="P24" s="105">
        <f t="shared" si="3"/>
        <v>45</v>
      </c>
      <c r="R24" s="1" t="str">
        <f t="shared" si="0"/>
        <v>Niveau 23 : 25200 / 212895 / 1584 / 65 Laurels.</v>
      </c>
    </row>
    <row r="25" spans="1:18" ht="11.25">
      <c r="A25" s="2">
        <v>24</v>
      </c>
      <c r="B25" s="2">
        <v>27000</v>
      </c>
      <c r="C25" s="2">
        <f t="shared" si="1"/>
        <v>239895</v>
      </c>
      <c r="D25" s="2">
        <v>1704</v>
      </c>
      <c r="E25" s="2">
        <v>70</v>
      </c>
      <c r="F25" s="2">
        <f t="shared" si="2"/>
        <v>24.34285714285714</v>
      </c>
      <c r="L25" s="2">
        <v>2</v>
      </c>
      <c r="M25" s="1" t="s">
        <v>1551</v>
      </c>
      <c r="N25" s="1" t="s">
        <v>1565</v>
      </c>
      <c r="O25" s="105">
        <v>150</v>
      </c>
      <c r="P25" s="105">
        <f t="shared" si="3"/>
        <v>135</v>
      </c>
      <c r="R25" s="1" t="str">
        <f t="shared" si="0"/>
        <v>Niveau 24 : 27000 / 239895 / 1704 / 70 Laurels.</v>
      </c>
    </row>
    <row r="26" spans="1:18" ht="11.25">
      <c r="A26" s="2">
        <v>25</v>
      </c>
      <c r="B26" s="2">
        <v>28800</v>
      </c>
      <c r="C26" s="2">
        <f t="shared" si="1"/>
        <v>268695</v>
      </c>
      <c r="D26" s="2">
        <v>1824</v>
      </c>
      <c r="E26" s="2">
        <v>75</v>
      </c>
      <c r="F26" s="2">
        <f t="shared" si="2"/>
        <v>24.32</v>
      </c>
      <c r="L26" s="2">
        <v>3</v>
      </c>
      <c r="M26" s="1" t="s">
        <v>1311</v>
      </c>
      <c r="N26" s="1" t="s">
        <v>1566</v>
      </c>
      <c r="O26" s="105">
        <v>200</v>
      </c>
      <c r="P26" s="105">
        <f t="shared" si="3"/>
        <v>180</v>
      </c>
      <c r="R26" s="1" t="str">
        <f t="shared" si="0"/>
        <v>Niveau 25 : 28800 / 268695 / 1824 / 75 Laurels.</v>
      </c>
    </row>
    <row r="27" spans="1:18" ht="11.25">
      <c r="A27" s="2">
        <v>26</v>
      </c>
      <c r="B27" s="2">
        <v>30600</v>
      </c>
      <c r="C27" s="2">
        <f t="shared" si="1"/>
        <v>299295</v>
      </c>
      <c r="D27" s="2">
        <v>1944</v>
      </c>
      <c r="E27" s="2">
        <v>80</v>
      </c>
      <c r="F27" s="2">
        <f t="shared" si="2"/>
        <v>24.3</v>
      </c>
      <c r="L27" s="2">
        <v>4</v>
      </c>
      <c r="M27" s="1" t="s">
        <v>1510</v>
      </c>
      <c r="N27" s="1" t="s">
        <v>1567</v>
      </c>
      <c r="O27" s="105">
        <v>400</v>
      </c>
      <c r="R27" s="1" t="str">
        <f t="shared" si="0"/>
        <v>Niveau 26 : 30600 / 299295 / 1944 / 80 Laurels.</v>
      </c>
    </row>
    <row r="28" spans="1:18" ht="11.25">
      <c r="A28" s="2">
        <v>27</v>
      </c>
      <c r="B28" s="2">
        <v>32400</v>
      </c>
      <c r="C28" s="2">
        <f t="shared" si="1"/>
        <v>331695</v>
      </c>
      <c r="D28" s="2">
        <v>2064</v>
      </c>
      <c r="E28" s="2">
        <v>85</v>
      </c>
      <c r="F28" s="2">
        <f t="shared" si="2"/>
        <v>24.28235294117647</v>
      </c>
      <c r="R28" s="1" t="str">
        <f t="shared" si="0"/>
        <v>Niveau 27 : 32400 / 331695 / 2064 / 85 Laurels.</v>
      </c>
    </row>
    <row r="29" spans="1:18" ht="11.25">
      <c r="A29" s="2">
        <v>28</v>
      </c>
      <c r="B29" s="2">
        <v>34200</v>
      </c>
      <c r="C29" s="2">
        <f t="shared" si="1"/>
        <v>365895</v>
      </c>
      <c r="D29" s="2">
        <v>2184</v>
      </c>
      <c r="E29" s="2">
        <v>90</v>
      </c>
      <c r="F29" s="2">
        <f t="shared" si="2"/>
        <v>24.266666666666666</v>
      </c>
      <c r="R29" s="1" t="str">
        <f t="shared" si="0"/>
        <v>Niveau 28 : 34200 / 365895 / 2184 / 90 Laurels.</v>
      </c>
    </row>
    <row r="30" spans="1:18" ht="11.25">
      <c r="A30" s="2">
        <v>29</v>
      </c>
      <c r="B30" s="2">
        <v>36000</v>
      </c>
      <c r="C30" s="2">
        <f t="shared" si="1"/>
        <v>401895</v>
      </c>
      <c r="D30" s="2">
        <v>2304</v>
      </c>
      <c r="E30" s="2">
        <v>95</v>
      </c>
      <c r="F30" s="2">
        <f t="shared" si="2"/>
        <v>24.25263157894737</v>
      </c>
      <c r="R30" s="1" t="str">
        <f t="shared" si="0"/>
        <v>Niveau 29 : 36000 / 401895 / 2304 / 95 Laurels.</v>
      </c>
    </row>
    <row r="31" spans="1:18" ht="11.25">
      <c r="A31" s="2">
        <v>30</v>
      </c>
      <c r="B31" s="2">
        <v>37800</v>
      </c>
      <c r="C31" s="2">
        <f t="shared" si="1"/>
        <v>439695</v>
      </c>
      <c r="D31" s="2">
        <v>2424</v>
      </c>
      <c r="E31" s="2">
        <v>100</v>
      </c>
      <c r="F31" s="2">
        <f t="shared" si="2"/>
        <v>24.24</v>
      </c>
      <c r="R31" s="1" t="str">
        <f t="shared" si="0"/>
        <v>Niveau 30 : 37800 / 439695 / 2424 / 100 Laurels.</v>
      </c>
    </row>
    <row r="32" spans="1:18" ht="11.25">
      <c r="A32" s="2">
        <v>31</v>
      </c>
      <c r="B32" s="2">
        <v>39600</v>
      </c>
      <c r="C32" s="2">
        <f t="shared" si="1"/>
        <v>479295</v>
      </c>
      <c r="D32" s="2">
        <v>2544</v>
      </c>
      <c r="E32" s="2">
        <v>105</v>
      </c>
      <c r="F32" s="2">
        <f t="shared" si="2"/>
        <v>24.228571428571428</v>
      </c>
      <c r="R32" s="1" t="str">
        <f t="shared" si="0"/>
        <v>Niveau 31 : 39600 / 479295 / 2544 / 105 Laurels.</v>
      </c>
    </row>
    <row r="33" spans="1:18" ht="11.25">
      <c r="A33" s="2">
        <v>32</v>
      </c>
      <c r="B33" s="2">
        <v>41400</v>
      </c>
      <c r="C33" s="2">
        <f t="shared" si="1"/>
        <v>520695</v>
      </c>
      <c r="D33" s="2">
        <v>2664</v>
      </c>
      <c r="E33" s="2">
        <v>110</v>
      </c>
      <c r="F33" s="2">
        <f t="shared" si="2"/>
        <v>24.21818181818182</v>
      </c>
      <c r="R33" s="1" t="str">
        <f t="shared" si="0"/>
        <v>Niveau 32 : 41400 / 520695 / 2664 / 110 Laurels.</v>
      </c>
    </row>
    <row r="34" spans="1:18" ht="11.25">
      <c r="A34" s="2">
        <v>33</v>
      </c>
      <c r="B34" s="2">
        <v>43200</v>
      </c>
      <c r="C34" s="2">
        <f t="shared" si="1"/>
        <v>563895</v>
      </c>
      <c r="D34" s="2">
        <v>2784</v>
      </c>
      <c r="E34" s="2">
        <v>115</v>
      </c>
      <c r="F34" s="2">
        <f t="shared" si="2"/>
        <v>24.208695652173912</v>
      </c>
      <c r="R34" s="1" t="str">
        <f t="shared" si="0"/>
        <v>Niveau 33 : 43200 / 563895 / 2784 / 115 Laurels.</v>
      </c>
    </row>
    <row r="35" spans="1:18" ht="11.25">
      <c r="A35" s="2">
        <v>34</v>
      </c>
      <c r="B35" s="2">
        <v>45000</v>
      </c>
      <c r="C35" s="2">
        <f t="shared" si="1"/>
        <v>608895</v>
      </c>
      <c r="D35" s="2">
        <v>2904</v>
      </c>
      <c r="E35" s="2">
        <v>120</v>
      </c>
      <c r="F35" s="2">
        <f t="shared" si="2"/>
        <v>24.2</v>
      </c>
      <c r="R35" s="1" t="str">
        <f t="shared" si="0"/>
        <v>Niveau 34 : 45000 / 608895 / 2904 / 120 Laurels.</v>
      </c>
    </row>
    <row r="36" spans="1:18" ht="11.25">
      <c r="A36" s="2">
        <v>35</v>
      </c>
      <c r="B36" s="2">
        <v>46800</v>
      </c>
      <c r="C36" s="2">
        <f t="shared" si="1"/>
        <v>655695</v>
      </c>
      <c r="D36" s="2">
        <v>3024</v>
      </c>
      <c r="E36" s="2">
        <v>125</v>
      </c>
      <c r="F36" s="2">
        <f t="shared" si="2"/>
        <v>24.192</v>
      </c>
      <c r="R36" s="1" t="str">
        <f t="shared" si="0"/>
        <v>Niveau 35 : 46800 / 655695 / 3024 / 125 Laurels.</v>
      </c>
    </row>
    <row r="37" spans="1:18" ht="11.25">
      <c r="A37" s="2">
        <v>36</v>
      </c>
      <c r="B37" s="2">
        <v>48600</v>
      </c>
      <c r="C37" s="2">
        <f t="shared" si="1"/>
        <v>704295</v>
      </c>
      <c r="D37" s="2">
        <v>3144</v>
      </c>
      <c r="E37" s="2">
        <v>130</v>
      </c>
      <c r="F37" s="2">
        <f t="shared" si="2"/>
        <v>24.184615384615384</v>
      </c>
      <c r="R37" s="1" t="str">
        <f t="shared" si="0"/>
        <v>Niveau 36 : 48600 / 704295 / 3144 / 130 Laurels.</v>
      </c>
    </row>
    <row r="38" spans="1:18" ht="11.25">
      <c r="A38" s="2">
        <v>37</v>
      </c>
      <c r="B38" s="2">
        <v>50400</v>
      </c>
      <c r="C38" s="2">
        <f t="shared" si="1"/>
        <v>754695</v>
      </c>
      <c r="D38" s="2">
        <v>3264</v>
      </c>
      <c r="E38" s="2">
        <v>135</v>
      </c>
      <c r="F38" s="2">
        <f t="shared" si="2"/>
        <v>24.177777777777777</v>
      </c>
      <c r="R38" s="1" t="str">
        <f t="shared" si="0"/>
        <v>Niveau 37 : 50400 / 754695 / 3264 / 135 Laurels.</v>
      </c>
    </row>
    <row r="39" spans="1:18" ht="11.25">
      <c r="A39" s="2">
        <v>38</v>
      </c>
      <c r="B39" s="2">
        <v>52200</v>
      </c>
      <c r="C39" s="2">
        <f t="shared" si="1"/>
        <v>806895</v>
      </c>
      <c r="D39" s="2">
        <v>3384</v>
      </c>
      <c r="E39" s="2">
        <v>140</v>
      </c>
      <c r="F39" s="2">
        <f t="shared" si="2"/>
        <v>24.17142857142857</v>
      </c>
      <c r="R39" s="1" t="str">
        <f t="shared" si="0"/>
        <v>Niveau 38 : 52200 / 806895 / 3384 / 140 Laurels.</v>
      </c>
    </row>
    <row r="40" spans="1:18" ht="11.25">
      <c r="A40" s="2">
        <v>39</v>
      </c>
      <c r="B40" s="2">
        <v>54000</v>
      </c>
      <c r="C40" s="2">
        <f t="shared" si="1"/>
        <v>860895</v>
      </c>
      <c r="D40" s="2">
        <v>3504</v>
      </c>
      <c r="E40" s="2">
        <v>145</v>
      </c>
      <c r="F40" s="2">
        <f t="shared" si="2"/>
        <v>24.16551724137931</v>
      </c>
      <c r="R40" s="1" t="str">
        <f t="shared" si="0"/>
        <v>Niveau 39 : 54000 / 860895 / 3504 / 145 Laurels.</v>
      </c>
    </row>
    <row r="41" spans="1:18" ht="11.25">
      <c r="A41" s="2">
        <v>40</v>
      </c>
      <c r="B41" s="2">
        <v>55800</v>
      </c>
      <c r="C41" s="2">
        <f t="shared" si="1"/>
        <v>916695</v>
      </c>
      <c r="D41" s="2">
        <v>3624</v>
      </c>
      <c r="E41" s="2">
        <v>150</v>
      </c>
      <c r="F41" s="2">
        <f t="shared" si="2"/>
        <v>24.16</v>
      </c>
      <c r="R41" s="1" t="str">
        <f t="shared" si="0"/>
        <v>Niveau 40 : 55800 / 916695 / 3624 / 150 Laurels.</v>
      </c>
    </row>
    <row r="42" spans="1:18" ht="11.25">
      <c r="A42" s="2">
        <v>41</v>
      </c>
      <c r="B42" s="2">
        <v>57600</v>
      </c>
      <c r="C42" s="2">
        <f t="shared" si="1"/>
        <v>974295</v>
      </c>
      <c r="D42" s="2">
        <v>3804</v>
      </c>
      <c r="E42" s="2">
        <v>157</v>
      </c>
      <c r="F42" s="2">
        <f t="shared" si="2"/>
        <v>24.229299363057326</v>
      </c>
      <c r="R42" s="1" t="str">
        <f t="shared" si="0"/>
        <v>Niveau 41 : 57600 / 974295 / 3804 / 157 Laurels.</v>
      </c>
    </row>
    <row r="43" spans="1:18" ht="11.25">
      <c r="A43" s="2">
        <v>42</v>
      </c>
      <c r="B43" s="2">
        <v>59400</v>
      </c>
      <c r="C43" s="2">
        <f t="shared" si="1"/>
        <v>1033695</v>
      </c>
      <c r="D43" s="2">
        <v>3983</v>
      </c>
      <c r="E43" s="2">
        <v>165</v>
      </c>
      <c r="F43" s="2">
        <f t="shared" si="2"/>
        <v>24.13939393939394</v>
      </c>
      <c r="R43" s="1" t="str">
        <f t="shared" si="0"/>
        <v>Niveau 42 : 59400 / 1033695 / 3983 / 165 Laurels.</v>
      </c>
    </row>
    <row r="44" spans="1:18" ht="11.25">
      <c r="A44" s="2">
        <v>43</v>
      </c>
      <c r="B44" s="2">
        <v>61200</v>
      </c>
      <c r="C44" s="2">
        <f t="shared" si="1"/>
        <v>1094895</v>
      </c>
      <c r="D44" s="2">
        <v>4163</v>
      </c>
      <c r="E44" s="2">
        <v>172</v>
      </c>
      <c r="F44" s="2">
        <f t="shared" si="2"/>
        <v>24.203488372093023</v>
      </c>
      <c r="R44" s="1" t="str">
        <f t="shared" si="0"/>
        <v>Niveau 43 : 61200 / 1094895 / 4163 / 172 Laurels.</v>
      </c>
    </row>
    <row r="45" spans="1:18" ht="11.25">
      <c r="A45" s="2">
        <v>44</v>
      </c>
      <c r="B45" s="2">
        <v>63000</v>
      </c>
      <c r="C45" s="2">
        <f t="shared" si="1"/>
        <v>1157895</v>
      </c>
      <c r="D45" s="2">
        <v>4343</v>
      </c>
      <c r="E45" s="2">
        <v>180</v>
      </c>
      <c r="F45" s="2">
        <f t="shared" si="2"/>
        <v>24.127777777777776</v>
      </c>
      <c r="R45" s="1" t="str">
        <f t="shared" si="0"/>
        <v>Niveau 44 : 63000 / 1157895 / 4343 / 180 Laurels.</v>
      </c>
    </row>
    <row r="46" spans="1:18" ht="11.25">
      <c r="A46" s="2">
        <v>45</v>
      </c>
      <c r="B46" s="2">
        <v>64800</v>
      </c>
      <c r="C46" s="2">
        <f t="shared" si="1"/>
        <v>1222695</v>
      </c>
      <c r="D46" s="2">
        <v>4523</v>
      </c>
      <c r="E46" s="2">
        <v>187</v>
      </c>
      <c r="F46" s="2">
        <f t="shared" si="2"/>
        <v>24.18716577540107</v>
      </c>
      <c r="R46" s="1" t="str">
        <f t="shared" si="0"/>
        <v>Niveau 45 : 64800 / 1222695 / 4523 / 187 Laurels.</v>
      </c>
    </row>
    <row r="47" spans="1:18" ht="11.25">
      <c r="A47" s="2">
        <v>46</v>
      </c>
      <c r="B47" s="2">
        <v>66600</v>
      </c>
      <c r="C47" s="2">
        <f t="shared" si="1"/>
        <v>1289295</v>
      </c>
      <c r="D47" s="2">
        <v>4703</v>
      </c>
      <c r="E47" s="2">
        <v>195</v>
      </c>
      <c r="F47" s="2">
        <f t="shared" si="2"/>
        <v>24.117948717948718</v>
      </c>
      <c r="R47" s="1" t="str">
        <f t="shared" si="0"/>
        <v>Niveau 46 : 66600 / 1289295 / 4703 / 195 Laurels.</v>
      </c>
    </row>
    <row r="48" spans="1:18" ht="11.25">
      <c r="A48" s="2">
        <v>47</v>
      </c>
      <c r="B48" s="2">
        <v>68400</v>
      </c>
      <c r="C48" s="2">
        <f t="shared" si="1"/>
        <v>1357695</v>
      </c>
      <c r="D48" s="2">
        <v>4883</v>
      </c>
      <c r="E48" s="2">
        <v>202</v>
      </c>
      <c r="F48" s="2">
        <f t="shared" si="2"/>
        <v>24.173267326732674</v>
      </c>
      <c r="R48" s="1" t="str">
        <f t="shared" si="0"/>
        <v>Niveau 47 : 68400 / 1357695 / 4883 / 202 Laurels.</v>
      </c>
    </row>
    <row r="49" spans="1:18" ht="11.25">
      <c r="A49" s="2">
        <v>48</v>
      </c>
      <c r="B49" s="2">
        <v>70200</v>
      </c>
      <c r="C49" s="2">
        <f t="shared" si="1"/>
        <v>1427895</v>
      </c>
      <c r="D49" s="2">
        <v>5063</v>
      </c>
      <c r="E49" s="2">
        <v>210</v>
      </c>
      <c r="F49" s="2">
        <f t="shared" si="2"/>
        <v>24.10952380952381</v>
      </c>
      <c r="R49" s="1" t="str">
        <f t="shared" si="0"/>
        <v>Niveau 48 : 70200 / 1427895 / 5063 / 210 Laurels.</v>
      </c>
    </row>
    <row r="50" spans="1:18" ht="11.25">
      <c r="A50" s="2">
        <v>49</v>
      </c>
      <c r="B50" s="2">
        <v>72000</v>
      </c>
      <c r="C50" s="2">
        <f t="shared" si="1"/>
        <v>1499895</v>
      </c>
      <c r="D50" s="2">
        <v>5243</v>
      </c>
      <c r="E50" s="2">
        <v>217</v>
      </c>
      <c r="F50" s="2">
        <f t="shared" si="2"/>
        <v>24.161290322580644</v>
      </c>
      <c r="R50" s="1" t="str">
        <f t="shared" si="0"/>
        <v>Niveau 49 : 72000 / 1499895 / 5243 / 217 Laurels.</v>
      </c>
    </row>
    <row r="51" spans="1:18" ht="11.25">
      <c r="A51" s="2">
        <v>50</v>
      </c>
      <c r="B51" s="2">
        <v>73800</v>
      </c>
      <c r="C51" s="2">
        <f t="shared" si="1"/>
        <v>1573695</v>
      </c>
      <c r="D51" s="2">
        <v>5423</v>
      </c>
      <c r="E51" s="2">
        <v>225</v>
      </c>
      <c r="F51" s="2">
        <f t="shared" si="2"/>
        <v>24.102222222222224</v>
      </c>
      <c r="R51" s="1" t="str">
        <f t="shared" si="0"/>
        <v>Niveau 50 : 73800 / 1573695 / 5423 / 225 Laurels.</v>
      </c>
    </row>
    <row r="52" spans="1:18" ht="11.25">
      <c r="A52" s="2">
        <v>51</v>
      </c>
      <c r="B52" s="2">
        <v>75600</v>
      </c>
      <c r="C52" s="2">
        <f t="shared" si="1"/>
        <v>1649295</v>
      </c>
      <c r="D52" s="2">
        <v>5603</v>
      </c>
      <c r="E52" s="2">
        <v>232</v>
      </c>
      <c r="F52" s="2">
        <f t="shared" si="2"/>
        <v>24.150862068965516</v>
      </c>
      <c r="R52" s="1" t="str">
        <f t="shared" si="0"/>
        <v>Niveau 51 : 75600 / 1649295 / 5603 / 232 Laurels.</v>
      </c>
    </row>
    <row r="53" spans="1:18" ht="11.25">
      <c r="A53" s="2">
        <v>52</v>
      </c>
      <c r="B53" s="2">
        <v>77400</v>
      </c>
      <c r="C53" s="2">
        <f t="shared" si="1"/>
        <v>1726695</v>
      </c>
      <c r="D53" s="2">
        <v>5783</v>
      </c>
      <c r="E53" s="2">
        <v>240</v>
      </c>
      <c r="F53" s="2">
        <f t="shared" si="2"/>
        <v>24.095833333333335</v>
      </c>
      <c r="R53" s="1" t="str">
        <f t="shared" si="0"/>
        <v>Niveau 52 : 77400 / 1726695 / 5783 / 240 Laurels.</v>
      </c>
    </row>
    <row r="54" spans="1:18" ht="11.25">
      <c r="A54" s="2">
        <v>53</v>
      </c>
      <c r="B54" s="2">
        <v>79200</v>
      </c>
      <c r="C54" s="2">
        <f t="shared" si="1"/>
        <v>1805895</v>
      </c>
      <c r="D54" s="2">
        <v>5963</v>
      </c>
      <c r="E54" s="2">
        <v>247</v>
      </c>
      <c r="F54" s="2">
        <f t="shared" si="2"/>
        <v>24.141700404858298</v>
      </c>
      <c r="R54" s="1" t="str">
        <f t="shared" si="0"/>
        <v>Niveau 53 : 79200 / 1805895 / 5963 / 247 Laurels.</v>
      </c>
    </row>
    <row r="55" spans="1:18" ht="11.25">
      <c r="A55" s="2">
        <v>54</v>
      </c>
      <c r="B55" s="2">
        <v>81000</v>
      </c>
      <c r="C55" s="2">
        <f t="shared" si="1"/>
        <v>1886895</v>
      </c>
      <c r="D55" s="2">
        <v>6143</v>
      </c>
      <c r="E55" s="2">
        <v>255</v>
      </c>
      <c r="F55" s="2">
        <f t="shared" si="2"/>
        <v>24.090196078431372</v>
      </c>
      <c r="R55" s="1" t="str">
        <f t="shared" si="0"/>
        <v>Niveau 54 : 81000 / 1886895 / 6143 / 255 Laurels.</v>
      </c>
    </row>
    <row r="56" spans="1:18" ht="11.25">
      <c r="A56" s="2">
        <v>55</v>
      </c>
      <c r="B56" s="2">
        <v>82800</v>
      </c>
      <c r="C56" s="2">
        <f t="shared" si="1"/>
        <v>1969695</v>
      </c>
      <c r="D56" s="2">
        <v>6323</v>
      </c>
      <c r="E56" s="2">
        <v>262</v>
      </c>
      <c r="F56" s="2">
        <f t="shared" si="2"/>
        <v>24.133587786259543</v>
      </c>
      <c r="R56" s="1" t="str">
        <f t="shared" si="0"/>
        <v>Niveau 55 : 82800 / 1969695 / 6323 / 262 Laurels.</v>
      </c>
    </row>
    <row r="57" spans="1:18" ht="11.25">
      <c r="A57" s="6">
        <v>56</v>
      </c>
      <c r="B57" s="6">
        <v>84600</v>
      </c>
      <c r="C57" s="6">
        <f t="shared" si="1"/>
        <v>2054295</v>
      </c>
      <c r="D57" s="6">
        <v>6503</v>
      </c>
      <c r="E57" s="6">
        <v>270</v>
      </c>
      <c r="F57" s="6">
        <f t="shared" si="2"/>
        <v>24.085185185185185</v>
      </c>
      <c r="R57" s="1" t="str">
        <f t="shared" si="0"/>
        <v>Niveau 56 : 84600 / 2054295 / 6503 / 270 Laurels.</v>
      </c>
    </row>
    <row r="58" spans="1:18" ht="11.25">
      <c r="A58" s="7">
        <v>57</v>
      </c>
      <c r="B58" s="7">
        <v>87300</v>
      </c>
      <c r="C58" s="7">
        <f t="shared" si="1"/>
        <v>2141595</v>
      </c>
      <c r="D58" s="7">
        <v>6683</v>
      </c>
      <c r="E58" s="2">
        <v>277</v>
      </c>
      <c r="F58" s="2">
        <f t="shared" si="2"/>
        <v>24.126353790613717</v>
      </c>
      <c r="R58" s="1" t="str">
        <f t="shared" si="0"/>
        <v>Niveau 57 : 87300 / 2141595 / 6683 / 277 Laurels.</v>
      </c>
    </row>
    <row r="59" spans="1:18" ht="11.25">
      <c r="A59" s="6">
        <v>58</v>
      </c>
      <c r="B59" s="6">
        <v>90000</v>
      </c>
      <c r="C59" s="6">
        <f t="shared" si="1"/>
        <v>2231595</v>
      </c>
      <c r="D59" s="6">
        <v>6863</v>
      </c>
      <c r="E59" s="6">
        <v>285</v>
      </c>
      <c r="F59" s="6">
        <f t="shared" si="2"/>
        <v>24.080701754385966</v>
      </c>
      <c r="R59" s="1" t="str">
        <f t="shared" si="0"/>
        <v>Niveau 58 : 90000 / 2231595 / 6863 / 285 Laurels.</v>
      </c>
    </row>
    <row r="60" spans="1:18" ht="11.25">
      <c r="A60" s="2">
        <v>59</v>
      </c>
      <c r="B60" s="2">
        <v>99000</v>
      </c>
      <c r="C60" s="2">
        <f t="shared" si="1"/>
        <v>2330595</v>
      </c>
      <c r="D60" s="2">
        <v>7043</v>
      </c>
      <c r="E60" s="2">
        <v>292</v>
      </c>
      <c r="F60" s="2">
        <f t="shared" si="2"/>
        <v>24.11986301369863</v>
      </c>
      <c r="R60" s="1" t="str">
        <f t="shared" si="0"/>
        <v>Niveau 59 : 99000 / 2330595 / 7043 / 292 Laurels.</v>
      </c>
    </row>
    <row r="61" spans="1:18" ht="11.25">
      <c r="A61" s="2">
        <v>60</v>
      </c>
      <c r="B61" s="2">
        <v>108000</v>
      </c>
      <c r="C61" s="2">
        <f t="shared" si="1"/>
        <v>2438595</v>
      </c>
      <c r="D61" s="2">
        <v>7223</v>
      </c>
      <c r="E61" s="2">
        <v>300</v>
      </c>
      <c r="F61" s="2">
        <f t="shared" si="2"/>
        <v>24.076666666666668</v>
      </c>
      <c r="R61" s="1" t="str">
        <f t="shared" si="0"/>
        <v>Niveau 60 : 108000 / 2438595 / 7223 / 300 Laurels.</v>
      </c>
    </row>
    <row r="62" spans="1:18" ht="11.25">
      <c r="A62" s="2">
        <v>61</v>
      </c>
      <c r="B62" s="2">
        <v>117000</v>
      </c>
      <c r="C62" s="2">
        <f t="shared" si="1"/>
        <v>2555595</v>
      </c>
      <c r="D62" s="2">
        <v>7403</v>
      </c>
      <c r="E62" s="2">
        <v>307</v>
      </c>
      <c r="F62" s="2">
        <f t="shared" si="2"/>
        <v>24.11400651465798</v>
      </c>
      <c r="R62" s="1" t="str">
        <f t="shared" si="0"/>
        <v>Niveau 61 : 117000 / 2555595 / 7403 / 307 Laurels.</v>
      </c>
    </row>
    <row r="63" spans="1:18" ht="11.25">
      <c r="A63" s="2">
        <v>62</v>
      </c>
      <c r="B63" s="2">
        <v>126000</v>
      </c>
      <c r="C63" s="2">
        <f t="shared" si="1"/>
        <v>2681595</v>
      </c>
      <c r="D63" s="2">
        <v>7583</v>
      </c>
      <c r="E63" s="2">
        <v>315</v>
      </c>
      <c r="F63" s="2">
        <f t="shared" si="2"/>
        <v>24.073015873015873</v>
      </c>
      <c r="R63" s="1" t="str">
        <f t="shared" si="0"/>
        <v>Niveau 62 : 126000 / 2681595 / 7583 / 315 Laurels.</v>
      </c>
    </row>
    <row r="64" spans="1:18" ht="11.25">
      <c r="A64" s="2">
        <v>63</v>
      </c>
      <c r="B64" s="2">
        <v>135000</v>
      </c>
      <c r="C64" s="2">
        <f t="shared" si="1"/>
        <v>2816595</v>
      </c>
      <c r="D64" s="2">
        <v>7763</v>
      </c>
      <c r="E64" s="2">
        <v>322</v>
      </c>
      <c r="F64" s="2">
        <f t="shared" si="2"/>
        <v>24.108695652173914</v>
      </c>
      <c r="R64" s="1" t="str">
        <f t="shared" si="0"/>
        <v>Niveau 63 : 135000 / 2816595 / 7763 / 322 Laurels.</v>
      </c>
    </row>
    <row r="65" spans="1:18" ht="11.25">
      <c r="A65" s="2">
        <v>64</v>
      </c>
      <c r="B65" s="2">
        <v>144000</v>
      </c>
      <c r="C65" s="2">
        <f t="shared" si="1"/>
        <v>2960595</v>
      </c>
      <c r="D65" s="2">
        <v>7943</v>
      </c>
      <c r="E65" s="2">
        <v>330</v>
      </c>
      <c r="F65" s="2">
        <f t="shared" si="2"/>
        <v>24.06969696969697</v>
      </c>
      <c r="R65" s="1" t="str">
        <f t="shared" si="0"/>
        <v>Niveau 64 : 144000 / 2960595 / 7943 / 330 Laurels.</v>
      </c>
    </row>
    <row r="66" spans="1:18" ht="11.25">
      <c r="A66" s="2">
        <v>65</v>
      </c>
      <c r="B66" s="2">
        <v>153000</v>
      </c>
      <c r="C66" s="2">
        <f t="shared" si="1"/>
        <v>3113595</v>
      </c>
      <c r="D66" s="2">
        <v>8123</v>
      </c>
      <c r="E66" s="2">
        <v>337</v>
      </c>
      <c r="F66" s="2">
        <f t="shared" si="2"/>
        <v>24.10385756676558</v>
      </c>
      <c r="R66" s="1" t="str">
        <f t="shared" si="0"/>
        <v>Niveau 65 : 153000 / 3113595 / 8123 / 337 Laurels.</v>
      </c>
    </row>
    <row r="67" spans="1:18" ht="11.25">
      <c r="A67" s="2">
        <v>66</v>
      </c>
      <c r="B67" s="2">
        <v>162000</v>
      </c>
      <c r="C67" s="2">
        <f t="shared" si="1"/>
        <v>3275595</v>
      </c>
      <c r="D67" s="2">
        <v>8304</v>
      </c>
      <c r="E67" s="2">
        <v>345</v>
      </c>
      <c r="F67" s="2">
        <f t="shared" si="2"/>
        <v>24.069565217391304</v>
      </c>
      <c r="R67" s="1" t="str">
        <f aca="true" t="shared" si="4" ref="R67:R121">CONCATENATE("Niveau ",A67," : ",B67," / ",C67," / ",D67," / ",E67," Laurels.")</f>
        <v>Niveau 66 : 162000 / 3275595 / 8304 / 345 Laurels.</v>
      </c>
    </row>
    <row r="68" spans="1:18" ht="11.25">
      <c r="A68" s="2">
        <v>67</v>
      </c>
      <c r="B68" s="2">
        <v>171000</v>
      </c>
      <c r="C68" s="2">
        <f aca="true" t="shared" si="5" ref="C68:C121">C67+B68</f>
        <v>3446595</v>
      </c>
      <c r="D68" s="2">
        <v>8484</v>
      </c>
      <c r="E68" s="2">
        <v>352</v>
      </c>
      <c r="F68" s="2">
        <f aca="true" t="shared" si="6" ref="F68:F121">D68/E68</f>
        <v>24.102272727272727</v>
      </c>
      <c r="R68" s="1" t="str">
        <f t="shared" si="4"/>
        <v>Niveau 67 : 171000 / 3446595 / 8484 / 352 Laurels.</v>
      </c>
    </row>
    <row r="69" spans="1:18" ht="11.25">
      <c r="A69" s="2">
        <v>68</v>
      </c>
      <c r="B69" s="2">
        <v>180000</v>
      </c>
      <c r="C69" s="2">
        <f t="shared" si="5"/>
        <v>3626595</v>
      </c>
      <c r="D69" s="2">
        <v>8664</v>
      </c>
      <c r="E69" s="2">
        <v>360</v>
      </c>
      <c r="F69" s="2">
        <f t="shared" si="6"/>
        <v>24.066666666666666</v>
      </c>
      <c r="R69" s="1" t="str">
        <f t="shared" si="4"/>
        <v>Niveau 68 : 180000 / 3626595 / 8664 / 360 Laurels.</v>
      </c>
    </row>
    <row r="70" spans="1:18" ht="11.25">
      <c r="A70" s="2">
        <v>69</v>
      </c>
      <c r="B70" s="2">
        <v>189000</v>
      </c>
      <c r="C70" s="2">
        <f t="shared" si="5"/>
        <v>3815595</v>
      </c>
      <c r="D70" s="2">
        <v>8844</v>
      </c>
      <c r="E70" s="2">
        <v>367</v>
      </c>
      <c r="F70" s="2">
        <f t="shared" si="6"/>
        <v>24.09809264305177</v>
      </c>
      <c r="R70" s="1" t="str">
        <f t="shared" si="4"/>
        <v>Niveau 69 : 189000 / 3815595 / 8844 / 367 Laurels.</v>
      </c>
    </row>
    <row r="71" spans="1:18" ht="11.25">
      <c r="A71" s="2">
        <v>70</v>
      </c>
      <c r="B71" s="2">
        <v>198000</v>
      </c>
      <c r="C71" s="2">
        <f t="shared" si="5"/>
        <v>4013595</v>
      </c>
      <c r="D71" s="2">
        <v>9024</v>
      </c>
      <c r="E71" s="2">
        <v>375</v>
      </c>
      <c r="F71" s="2">
        <f t="shared" si="6"/>
        <v>24.064</v>
      </c>
      <c r="R71" s="1" t="str">
        <f t="shared" si="4"/>
        <v>Niveau 70 : 198000 / 4013595 / 9024 / 375 Laurels.</v>
      </c>
    </row>
    <row r="72" spans="1:18" ht="11.25">
      <c r="A72" s="2">
        <v>71</v>
      </c>
      <c r="B72" s="2">
        <v>207000</v>
      </c>
      <c r="C72" s="2">
        <f t="shared" si="5"/>
        <v>4220595</v>
      </c>
      <c r="D72" s="2">
        <v>9204</v>
      </c>
      <c r="E72" s="2">
        <v>382</v>
      </c>
      <c r="F72" s="2">
        <f t="shared" si="6"/>
        <v>24.094240837696336</v>
      </c>
      <c r="R72" s="1" t="str">
        <f t="shared" si="4"/>
        <v>Niveau 71 : 207000 / 4220595 / 9204 / 382 Laurels.</v>
      </c>
    </row>
    <row r="73" spans="1:18" ht="11.25">
      <c r="A73" s="2">
        <v>72</v>
      </c>
      <c r="B73" s="2">
        <v>216000</v>
      </c>
      <c r="C73" s="2">
        <f t="shared" si="5"/>
        <v>4436595</v>
      </c>
      <c r="D73" s="2">
        <v>9384</v>
      </c>
      <c r="E73" s="2">
        <v>390</v>
      </c>
      <c r="F73" s="2">
        <f t="shared" si="6"/>
        <v>24.06153846153846</v>
      </c>
      <c r="R73" s="1" t="str">
        <f t="shared" si="4"/>
        <v>Niveau 72 : 216000 / 4436595 / 9384 / 390 Laurels.</v>
      </c>
    </row>
    <row r="74" spans="1:18" ht="11.25">
      <c r="A74" s="2">
        <v>73</v>
      </c>
      <c r="B74" s="2">
        <v>225000</v>
      </c>
      <c r="C74" s="2">
        <f t="shared" si="5"/>
        <v>4661595</v>
      </c>
      <c r="D74" s="2">
        <v>9564</v>
      </c>
      <c r="E74" s="2">
        <v>397</v>
      </c>
      <c r="F74" s="2">
        <f t="shared" si="6"/>
        <v>24.090680100755666</v>
      </c>
      <c r="R74" s="1" t="str">
        <f t="shared" si="4"/>
        <v>Niveau 73 : 225000 / 4661595 / 9564 / 397 Laurels.</v>
      </c>
    </row>
    <row r="75" spans="1:18" ht="11.25">
      <c r="A75" s="2">
        <v>74</v>
      </c>
      <c r="B75" s="2">
        <v>234000</v>
      </c>
      <c r="C75" s="2">
        <f t="shared" si="5"/>
        <v>4895595</v>
      </c>
      <c r="D75" s="2">
        <v>9744</v>
      </c>
      <c r="E75" s="2">
        <v>405</v>
      </c>
      <c r="F75" s="2">
        <f t="shared" si="6"/>
        <v>24.05925925925926</v>
      </c>
      <c r="R75" s="1" t="str">
        <f t="shared" si="4"/>
        <v>Niveau 74 : 234000 / 4895595 / 9744 / 405 Laurels.</v>
      </c>
    </row>
    <row r="76" spans="1:18" ht="11.25">
      <c r="A76" s="2">
        <v>75</v>
      </c>
      <c r="B76" s="2">
        <v>243000</v>
      </c>
      <c r="C76" s="2">
        <f t="shared" si="5"/>
        <v>5138595</v>
      </c>
      <c r="D76" s="2">
        <v>9924</v>
      </c>
      <c r="E76" s="2">
        <v>412</v>
      </c>
      <c r="F76" s="2">
        <f t="shared" si="6"/>
        <v>24.0873786407767</v>
      </c>
      <c r="R76" s="1" t="str">
        <f t="shared" si="4"/>
        <v>Niveau 75 : 243000 / 5138595 / 9924 / 412 Laurels.</v>
      </c>
    </row>
    <row r="77" spans="1:18" ht="11.25">
      <c r="A77" s="2">
        <v>76</v>
      </c>
      <c r="B77" s="2">
        <v>252000</v>
      </c>
      <c r="C77" s="2">
        <f t="shared" si="5"/>
        <v>5390595</v>
      </c>
      <c r="D77" s="2">
        <v>10104</v>
      </c>
      <c r="E77" s="2">
        <v>420</v>
      </c>
      <c r="F77" s="2">
        <f t="shared" si="6"/>
        <v>24.057142857142857</v>
      </c>
      <c r="R77" s="1" t="str">
        <f t="shared" si="4"/>
        <v>Niveau 76 : 252000 / 5390595 / 10104 / 420 Laurels.</v>
      </c>
    </row>
    <row r="78" spans="1:18" ht="11.25">
      <c r="A78" s="2">
        <v>77</v>
      </c>
      <c r="B78" s="2">
        <v>261000</v>
      </c>
      <c r="C78" s="2">
        <f t="shared" si="5"/>
        <v>5651595</v>
      </c>
      <c r="D78" s="2">
        <v>10284</v>
      </c>
      <c r="E78" s="2">
        <v>427</v>
      </c>
      <c r="F78" s="2">
        <f t="shared" si="6"/>
        <v>24.084309133489462</v>
      </c>
      <c r="R78" s="1" t="str">
        <f t="shared" si="4"/>
        <v>Niveau 77 : 261000 / 5651595 / 10284 / 427 Laurels.</v>
      </c>
    </row>
    <row r="79" spans="1:18" ht="11.25">
      <c r="A79" s="6">
        <v>78</v>
      </c>
      <c r="B79" s="6">
        <v>270000</v>
      </c>
      <c r="C79" s="6">
        <f t="shared" si="5"/>
        <v>5921595</v>
      </c>
      <c r="D79" s="6">
        <v>10464</v>
      </c>
      <c r="E79" s="6">
        <v>435</v>
      </c>
      <c r="F79" s="6">
        <f t="shared" si="6"/>
        <v>24.055172413793102</v>
      </c>
      <c r="R79" s="1" t="str">
        <f t="shared" si="4"/>
        <v>Niveau 78 : 270000 / 5921595 / 10464 / 435 Laurels.</v>
      </c>
    </row>
    <row r="80" spans="1:18" ht="11.25">
      <c r="A80" s="2">
        <v>79</v>
      </c>
      <c r="B80" s="2">
        <v>297000</v>
      </c>
      <c r="C80" s="2">
        <f t="shared" si="5"/>
        <v>6218595</v>
      </c>
      <c r="D80" s="2">
        <v>10644</v>
      </c>
      <c r="E80" s="2">
        <v>442</v>
      </c>
      <c r="F80" s="2">
        <f t="shared" si="6"/>
        <v>24.081447963800905</v>
      </c>
      <c r="R80" s="1" t="str">
        <f t="shared" si="4"/>
        <v>Niveau 79 : 297000 / 6218595 / 10644 / 442 Laurels.</v>
      </c>
    </row>
    <row r="81" spans="1:18" ht="11.25">
      <c r="A81" s="2">
        <v>80</v>
      </c>
      <c r="B81" s="2">
        <v>324000</v>
      </c>
      <c r="C81" s="2">
        <f t="shared" si="5"/>
        <v>6542595</v>
      </c>
      <c r="D81" s="2">
        <v>10824</v>
      </c>
      <c r="E81" s="2">
        <v>450</v>
      </c>
      <c r="F81" s="2">
        <f t="shared" si="6"/>
        <v>24.053333333333335</v>
      </c>
      <c r="R81" s="1" t="str">
        <f t="shared" si="4"/>
        <v>Niveau 80 : 324000 / 6542595 / 10824 / 450 Laurels.</v>
      </c>
    </row>
    <row r="82" spans="1:18" ht="11.25">
      <c r="A82" s="2">
        <v>81</v>
      </c>
      <c r="B82" s="2">
        <v>351000</v>
      </c>
      <c r="C82" s="2">
        <f t="shared" si="5"/>
        <v>6893595</v>
      </c>
      <c r="D82" s="2">
        <v>11004</v>
      </c>
      <c r="E82" s="2">
        <v>457</v>
      </c>
      <c r="F82" s="2">
        <f t="shared" si="6"/>
        <v>24.078774617067833</v>
      </c>
      <c r="R82" s="1" t="str">
        <f t="shared" si="4"/>
        <v>Niveau 81 : 351000 / 6893595 / 11004 / 457 Laurels.</v>
      </c>
    </row>
    <row r="83" spans="1:18" ht="11.25">
      <c r="A83" s="2">
        <v>82</v>
      </c>
      <c r="B83" s="2">
        <v>378000</v>
      </c>
      <c r="C83" s="2">
        <f t="shared" si="5"/>
        <v>7271595</v>
      </c>
      <c r="D83" s="2">
        <v>11184</v>
      </c>
      <c r="E83" s="2">
        <v>465</v>
      </c>
      <c r="F83" s="2">
        <f t="shared" si="6"/>
        <v>24.051612903225806</v>
      </c>
      <c r="R83" s="1" t="str">
        <f t="shared" si="4"/>
        <v>Niveau 82 : 378000 / 7271595 / 11184 / 465 Laurels.</v>
      </c>
    </row>
    <row r="84" spans="1:18" ht="11.25">
      <c r="A84" s="2">
        <v>83</v>
      </c>
      <c r="B84" s="2">
        <v>405000</v>
      </c>
      <c r="C84" s="2">
        <f t="shared" si="5"/>
        <v>7676595</v>
      </c>
      <c r="D84" s="2">
        <v>11364</v>
      </c>
      <c r="E84" s="2">
        <v>472</v>
      </c>
      <c r="F84" s="2">
        <f t="shared" si="6"/>
        <v>24.076271186440678</v>
      </c>
      <c r="R84" s="1" t="str">
        <f t="shared" si="4"/>
        <v>Niveau 83 : 405000 / 7676595 / 11364 / 472 Laurels.</v>
      </c>
    </row>
    <row r="85" spans="1:18" ht="11.25">
      <c r="A85" s="2">
        <v>84</v>
      </c>
      <c r="B85" s="2">
        <v>432000</v>
      </c>
      <c r="C85" s="2">
        <f t="shared" si="5"/>
        <v>8108595</v>
      </c>
      <c r="D85" s="2">
        <v>11544</v>
      </c>
      <c r="E85" s="2">
        <v>480</v>
      </c>
      <c r="F85" s="2">
        <f t="shared" si="6"/>
        <v>24.05</v>
      </c>
      <c r="R85" s="1" t="str">
        <f t="shared" si="4"/>
        <v>Niveau 84 : 432000 / 8108595 / 11544 / 480 Laurels.</v>
      </c>
    </row>
    <row r="86" spans="1:18" ht="11.25">
      <c r="A86" s="2">
        <v>85</v>
      </c>
      <c r="B86" s="2">
        <v>459000</v>
      </c>
      <c r="C86" s="2">
        <f t="shared" si="5"/>
        <v>8567595</v>
      </c>
      <c r="D86" s="2">
        <v>23412</v>
      </c>
      <c r="E86" s="2">
        <v>487</v>
      </c>
      <c r="F86" s="2">
        <f t="shared" si="6"/>
        <v>48.07392197125257</v>
      </c>
      <c r="R86" s="1" t="str">
        <f t="shared" si="4"/>
        <v>Niveau 85 : 459000 / 8567595 / 23412 / 487 Laurels.</v>
      </c>
    </row>
    <row r="87" spans="1:18" ht="11.25">
      <c r="A87" s="2">
        <v>86</v>
      </c>
      <c r="B87" s="2">
        <v>486000</v>
      </c>
      <c r="C87" s="2">
        <f t="shared" si="5"/>
        <v>9053595</v>
      </c>
      <c r="D87" s="2">
        <v>23772</v>
      </c>
      <c r="E87" s="2">
        <v>495</v>
      </c>
      <c r="F87" s="2">
        <f t="shared" si="6"/>
        <v>48.02424242424242</v>
      </c>
      <c r="R87" s="1" t="str">
        <f t="shared" si="4"/>
        <v>Niveau 86 : 486000 / 9053595 / 23772 / 495 Laurels.</v>
      </c>
    </row>
    <row r="88" spans="1:18" ht="11.25">
      <c r="A88" s="2">
        <v>87</v>
      </c>
      <c r="B88" s="2">
        <v>513000</v>
      </c>
      <c r="C88" s="2">
        <f t="shared" si="5"/>
        <v>9566595</v>
      </c>
      <c r="D88" s="2">
        <v>24132</v>
      </c>
      <c r="E88" s="2">
        <v>502</v>
      </c>
      <c r="F88" s="2">
        <f t="shared" si="6"/>
        <v>48.07171314741036</v>
      </c>
      <c r="R88" s="1" t="str">
        <f t="shared" si="4"/>
        <v>Niveau 87 : 513000 / 9566595 / 24132 / 502 Laurels.</v>
      </c>
    </row>
    <row r="89" spans="1:18" ht="11.25">
      <c r="A89" s="6">
        <v>88</v>
      </c>
      <c r="B89" s="6">
        <v>540000</v>
      </c>
      <c r="C89" s="6">
        <f t="shared" si="5"/>
        <v>10106595</v>
      </c>
      <c r="D89" s="6">
        <v>24492</v>
      </c>
      <c r="E89" s="6">
        <v>510</v>
      </c>
      <c r="F89" s="6">
        <f t="shared" si="6"/>
        <v>48.023529411764706</v>
      </c>
      <c r="R89" s="1" t="str">
        <f t="shared" si="4"/>
        <v>Niveau 88 : 540000 / 10106595 / 24492 / 510 Laurels.</v>
      </c>
    </row>
    <row r="90" spans="1:18" ht="11.25">
      <c r="A90" s="2">
        <v>89</v>
      </c>
      <c r="B90" s="2">
        <v>576000</v>
      </c>
      <c r="C90" s="2">
        <f t="shared" si="5"/>
        <v>10682595</v>
      </c>
      <c r="D90" s="2">
        <v>24852</v>
      </c>
      <c r="E90" s="2">
        <v>517</v>
      </c>
      <c r="F90" s="2">
        <f t="shared" si="6"/>
        <v>48.06963249516441</v>
      </c>
      <c r="R90" s="1" t="str">
        <f t="shared" si="4"/>
        <v>Niveau 89 : 576000 / 10682595 / 24852 / 517 Laurels.</v>
      </c>
    </row>
    <row r="91" spans="1:18" ht="11.25">
      <c r="A91" s="2">
        <v>90</v>
      </c>
      <c r="B91" s="2">
        <v>594000</v>
      </c>
      <c r="C91" s="2">
        <f t="shared" si="5"/>
        <v>11276595</v>
      </c>
      <c r="D91" s="2">
        <v>25212</v>
      </c>
      <c r="E91" s="2">
        <v>525</v>
      </c>
      <c r="F91" s="2">
        <f t="shared" si="6"/>
        <v>48.02285714285714</v>
      </c>
      <c r="R91" s="1" t="str">
        <f t="shared" si="4"/>
        <v>Niveau 90 : 594000 / 11276595 / 25212 / 525 Laurels.</v>
      </c>
    </row>
    <row r="92" spans="1:18" ht="11.25">
      <c r="A92" s="2">
        <v>91</v>
      </c>
      <c r="B92" s="2">
        <v>621000</v>
      </c>
      <c r="C92" s="2">
        <f t="shared" si="5"/>
        <v>11897595</v>
      </c>
      <c r="D92" s="2">
        <v>25572</v>
      </c>
      <c r="E92" s="2">
        <v>532</v>
      </c>
      <c r="F92" s="2">
        <f t="shared" si="6"/>
        <v>48.067669172932334</v>
      </c>
      <c r="R92" s="1" t="str">
        <f t="shared" si="4"/>
        <v>Niveau 91 : 621000 / 11897595 / 25572 / 532 Laurels.</v>
      </c>
    </row>
    <row r="93" spans="1:18" ht="11.25">
      <c r="A93" s="2">
        <v>92</v>
      </c>
      <c r="B93" s="2">
        <v>648000</v>
      </c>
      <c r="C93" s="2">
        <f t="shared" si="5"/>
        <v>12545595</v>
      </c>
      <c r="D93" s="2">
        <v>25932</v>
      </c>
      <c r="E93" s="2">
        <v>540</v>
      </c>
      <c r="F93" s="2">
        <f t="shared" si="6"/>
        <v>48.022222222222226</v>
      </c>
      <c r="R93" s="1" t="str">
        <f t="shared" si="4"/>
        <v>Niveau 92 : 648000 / 12545595 / 25932 / 540 Laurels.</v>
      </c>
    </row>
    <row r="94" spans="1:18" ht="11.25">
      <c r="A94" s="2">
        <v>93</v>
      </c>
      <c r="B94" s="2">
        <v>684000</v>
      </c>
      <c r="C94" s="2">
        <f t="shared" si="5"/>
        <v>13229595</v>
      </c>
      <c r="D94" s="2">
        <v>26292</v>
      </c>
      <c r="E94" s="2">
        <v>547</v>
      </c>
      <c r="F94" s="2">
        <f t="shared" si="6"/>
        <v>48.06581352833638</v>
      </c>
      <c r="R94" s="1" t="str">
        <f t="shared" si="4"/>
        <v>Niveau 93 : 684000 / 13229595 / 26292 / 547 Laurels.</v>
      </c>
    </row>
    <row r="95" spans="1:18" ht="11.25">
      <c r="A95" s="2">
        <v>94</v>
      </c>
      <c r="B95" s="2">
        <v>720000</v>
      </c>
      <c r="C95" s="2">
        <f t="shared" si="5"/>
        <v>13949595</v>
      </c>
      <c r="D95" s="2">
        <v>26652</v>
      </c>
      <c r="E95" s="2">
        <v>555</v>
      </c>
      <c r="F95" s="2">
        <f t="shared" si="6"/>
        <v>48.02162162162162</v>
      </c>
      <c r="R95" s="1" t="str">
        <f t="shared" si="4"/>
        <v>Niveau 94 : 720000 / 13949595 / 26652 / 555 Laurels.</v>
      </c>
    </row>
    <row r="96" spans="1:18" ht="11.25">
      <c r="A96" s="2">
        <v>95</v>
      </c>
      <c r="B96" s="2">
        <v>756000</v>
      </c>
      <c r="C96" s="2">
        <f t="shared" si="5"/>
        <v>14705595</v>
      </c>
      <c r="D96" s="2">
        <v>27012</v>
      </c>
      <c r="E96" s="2">
        <v>562</v>
      </c>
      <c r="F96" s="2">
        <f t="shared" si="6"/>
        <v>48.06405693950178</v>
      </c>
      <c r="R96" s="1" t="str">
        <f t="shared" si="4"/>
        <v>Niveau 95 : 756000 / 14705595 / 27012 / 562 Laurels.</v>
      </c>
    </row>
    <row r="97" spans="1:18" ht="11.25">
      <c r="A97" s="2">
        <v>96</v>
      </c>
      <c r="B97" s="2">
        <v>792000</v>
      </c>
      <c r="C97" s="2">
        <f t="shared" si="5"/>
        <v>15497595</v>
      </c>
      <c r="D97" s="2">
        <v>27372</v>
      </c>
      <c r="E97" s="2">
        <v>570</v>
      </c>
      <c r="F97" s="2">
        <f t="shared" si="6"/>
        <v>48.02105263157895</v>
      </c>
      <c r="R97" s="1" t="str">
        <f t="shared" si="4"/>
        <v>Niveau 96 : 792000 / 15497595 / 27372 / 570 Laurels.</v>
      </c>
    </row>
    <row r="98" spans="1:18" ht="11.25">
      <c r="A98" s="2">
        <v>97</v>
      </c>
      <c r="B98" s="2">
        <v>828000</v>
      </c>
      <c r="C98" s="2">
        <f t="shared" si="5"/>
        <v>16325595</v>
      </c>
      <c r="D98" s="2">
        <v>27732</v>
      </c>
      <c r="E98" s="2">
        <v>577</v>
      </c>
      <c r="F98" s="2">
        <f t="shared" si="6"/>
        <v>48.06239168110918</v>
      </c>
      <c r="R98" s="1" t="str">
        <f t="shared" si="4"/>
        <v>Niveau 97 : 828000 / 16325595 / 27732 / 577 Laurels.</v>
      </c>
    </row>
    <row r="99" spans="1:18" ht="11.25">
      <c r="A99" s="2">
        <v>98</v>
      </c>
      <c r="B99" s="2">
        <v>864000</v>
      </c>
      <c r="C99" s="2">
        <f t="shared" si="5"/>
        <v>17189595</v>
      </c>
      <c r="D99" s="2">
        <v>28092</v>
      </c>
      <c r="E99" s="2">
        <v>585</v>
      </c>
      <c r="F99" s="2">
        <f t="shared" si="6"/>
        <v>48.02051282051282</v>
      </c>
      <c r="R99" s="1" t="str">
        <f t="shared" si="4"/>
        <v>Niveau 98 : 864000 / 17189595 / 28092 / 585 Laurels.</v>
      </c>
    </row>
    <row r="100" spans="1:18" ht="11.25">
      <c r="A100" s="2">
        <v>99</v>
      </c>
      <c r="B100" s="2">
        <v>900000</v>
      </c>
      <c r="C100" s="2">
        <f t="shared" si="5"/>
        <v>18089595</v>
      </c>
      <c r="D100" s="2">
        <v>28452</v>
      </c>
      <c r="E100" s="2">
        <v>592</v>
      </c>
      <c r="F100" s="2">
        <f t="shared" si="6"/>
        <v>48.060810810810814</v>
      </c>
      <c r="R100" s="1" t="str">
        <f t="shared" si="4"/>
        <v>Niveau 99 : 900000 / 18089595 / 28452 / 592 Laurels.</v>
      </c>
    </row>
    <row r="101" spans="1:18" ht="11.25">
      <c r="A101" s="6">
        <v>100</v>
      </c>
      <c r="B101" s="6">
        <v>936000</v>
      </c>
      <c r="C101" s="6">
        <f t="shared" si="5"/>
        <v>19025595</v>
      </c>
      <c r="D101" s="6">
        <v>28812</v>
      </c>
      <c r="E101" s="6">
        <v>600</v>
      </c>
      <c r="F101" s="6">
        <f t="shared" si="6"/>
        <v>48.02</v>
      </c>
      <c r="R101" s="1" t="str">
        <f t="shared" si="4"/>
        <v>Niveau 100 : 936000 / 19025595 / 28812 / 600 Laurels.</v>
      </c>
    </row>
    <row r="102" spans="1:18" ht="11.25">
      <c r="A102" s="2">
        <v>101</v>
      </c>
      <c r="B102" s="2">
        <v>972000</v>
      </c>
      <c r="C102" s="20">
        <f t="shared" si="5"/>
        <v>19997595</v>
      </c>
      <c r="D102" s="2">
        <v>29292</v>
      </c>
      <c r="E102" s="2">
        <v>610</v>
      </c>
      <c r="F102" s="2">
        <f t="shared" si="6"/>
        <v>48.019672131147544</v>
      </c>
      <c r="R102" s="1" t="str">
        <f t="shared" si="4"/>
        <v>Niveau 101 : 972000 / 19997595 / 29292 / 610 Laurels.</v>
      </c>
    </row>
    <row r="103" spans="1:18" ht="11.25">
      <c r="A103" s="2">
        <v>102</v>
      </c>
      <c r="B103" s="2">
        <v>1008000</v>
      </c>
      <c r="C103" s="104">
        <f t="shared" si="5"/>
        <v>21005595</v>
      </c>
      <c r="D103" s="2">
        <v>29772</v>
      </c>
      <c r="E103" s="2">
        <v>620</v>
      </c>
      <c r="F103" s="2">
        <f t="shared" si="6"/>
        <v>48.019354838709674</v>
      </c>
      <c r="R103" s="1" t="str">
        <f t="shared" si="4"/>
        <v>Niveau 102 : 1008000 / 21005595 / 29772 / 620 Laurels.</v>
      </c>
    </row>
    <row r="104" spans="1:18" ht="11.25">
      <c r="A104" s="2">
        <v>103</v>
      </c>
      <c r="B104" s="2">
        <v>1044000</v>
      </c>
      <c r="C104" s="104">
        <f t="shared" si="5"/>
        <v>22049595</v>
      </c>
      <c r="D104" s="2">
        <v>30252</v>
      </c>
      <c r="E104" s="2">
        <v>630</v>
      </c>
      <c r="F104" s="2">
        <f t="shared" si="6"/>
        <v>48.01904761904762</v>
      </c>
      <c r="R104" s="1" t="str">
        <f t="shared" si="4"/>
        <v>Niveau 103 : 1044000 / 22049595 / 30252 / 630 Laurels.</v>
      </c>
    </row>
    <row r="105" spans="1:18" ht="11.25">
      <c r="A105" s="2">
        <v>104</v>
      </c>
      <c r="B105" s="2">
        <v>1080000</v>
      </c>
      <c r="C105" s="104">
        <f t="shared" si="5"/>
        <v>23129595</v>
      </c>
      <c r="D105" s="2">
        <v>30732</v>
      </c>
      <c r="E105" s="2">
        <v>640</v>
      </c>
      <c r="F105" s="2">
        <f t="shared" si="6"/>
        <v>48.01875</v>
      </c>
      <c r="R105" s="1" t="str">
        <f t="shared" si="4"/>
        <v>Niveau 104 : 1080000 / 23129595 / 30732 / 640 Laurels.</v>
      </c>
    </row>
    <row r="106" spans="1:18" ht="11.25">
      <c r="A106" s="2">
        <v>105</v>
      </c>
      <c r="B106" s="2">
        <v>1116000</v>
      </c>
      <c r="C106" s="104">
        <f t="shared" si="5"/>
        <v>24245595</v>
      </c>
      <c r="D106" s="2">
        <v>31212</v>
      </c>
      <c r="E106" s="2">
        <v>650</v>
      </c>
      <c r="F106" s="2">
        <f t="shared" si="6"/>
        <v>48.01846153846154</v>
      </c>
      <c r="R106" s="1" t="str">
        <f t="shared" si="4"/>
        <v>Niveau 105 : 1116000 / 24245595 / 31212 / 650 Laurels.</v>
      </c>
    </row>
    <row r="107" spans="1:18" ht="11.25">
      <c r="A107" s="2">
        <v>106</v>
      </c>
      <c r="B107" s="2">
        <v>1152000</v>
      </c>
      <c r="C107" s="104">
        <f t="shared" si="5"/>
        <v>25397595</v>
      </c>
      <c r="D107" s="2">
        <v>31692</v>
      </c>
      <c r="E107" s="2">
        <v>660</v>
      </c>
      <c r="F107" s="2">
        <f t="shared" si="6"/>
        <v>48.018181818181816</v>
      </c>
      <c r="R107" s="1" t="str">
        <f t="shared" si="4"/>
        <v>Niveau 106 : 1152000 / 25397595 / 31692 / 660 Laurels.</v>
      </c>
    </row>
    <row r="108" spans="1:18" ht="11.25">
      <c r="A108" s="2">
        <v>107</v>
      </c>
      <c r="B108" s="2">
        <v>1188000</v>
      </c>
      <c r="C108" s="104">
        <f t="shared" si="5"/>
        <v>26585595</v>
      </c>
      <c r="D108" s="2">
        <v>32172</v>
      </c>
      <c r="E108" s="2">
        <v>670</v>
      </c>
      <c r="F108" s="2">
        <f t="shared" si="6"/>
        <v>48.017910447761196</v>
      </c>
      <c r="R108" s="1" t="str">
        <f t="shared" si="4"/>
        <v>Niveau 107 : 1188000 / 26585595 / 32172 / 670 Laurels.</v>
      </c>
    </row>
    <row r="109" spans="1:18" ht="11.25">
      <c r="A109" s="2">
        <v>108</v>
      </c>
      <c r="B109" s="2">
        <v>1224000</v>
      </c>
      <c r="C109" s="104">
        <f t="shared" si="5"/>
        <v>27809595</v>
      </c>
      <c r="D109" s="2">
        <v>32652</v>
      </c>
      <c r="E109" s="2">
        <v>680</v>
      </c>
      <c r="F109" s="2">
        <f t="shared" si="6"/>
        <v>48.01764705882353</v>
      </c>
      <c r="R109" s="1" t="str">
        <f t="shared" si="4"/>
        <v>Niveau 108 : 1224000 / 27809595 / 32652 / 680 Laurels.</v>
      </c>
    </row>
    <row r="110" spans="1:18" ht="11.25">
      <c r="A110" s="2">
        <v>109</v>
      </c>
      <c r="B110" s="2">
        <v>1260000</v>
      </c>
      <c r="C110" s="104">
        <f t="shared" si="5"/>
        <v>29069595</v>
      </c>
      <c r="D110" s="2">
        <v>33132</v>
      </c>
      <c r="E110" s="2">
        <v>690</v>
      </c>
      <c r="F110" s="2">
        <f t="shared" si="6"/>
        <v>48.017391304347825</v>
      </c>
      <c r="R110" s="1" t="str">
        <f t="shared" si="4"/>
        <v>Niveau 109 : 1260000 / 29069595 / 33132 / 690 Laurels.</v>
      </c>
    </row>
    <row r="111" spans="1:18" ht="11.25">
      <c r="A111" s="6">
        <v>110</v>
      </c>
      <c r="B111" s="6">
        <v>1296000</v>
      </c>
      <c r="C111" s="142">
        <f t="shared" si="5"/>
        <v>30365595</v>
      </c>
      <c r="D111" s="6">
        <v>50400</v>
      </c>
      <c r="E111" s="6">
        <v>700</v>
      </c>
      <c r="F111" s="6">
        <f t="shared" si="6"/>
        <v>72</v>
      </c>
      <c r="R111" s="1" t="str">
        <f t="shared" si="4"/>
        <v>Niveau 110 : 1296000 / 30365595 / 50400 / 700 Laurels.</v>
      </c>
    </row>
    <row r="112" spans="1:18" ht="11.25">
      <c r="A112" s="20">
        <v>111</v>
      </c>
      <c r="B112" s="2">
        <v>1332000</v>
      </c>
      <c r="C112" s="20">
        <f t="shared" si="5"/>
        <v>31697595</v>
      </c>
      <c r="D112" s="2">
        <v>51480</v>
      </c>
      <c r="E112" s="2">
        <v>715</v>
      </c>
      <c r="F112" s="2">
        <f t="shared" si="6"/>
        <v>72</v>
      </c>
      <c r="R112" s="1" t="str">
        <f t="shared" si="4"/>
        <v>Niveau 111 : 1332000 / 31697595 / 51480 / 715 Laurels.</v>
      </c>
    </row>
    <row r="113" spans="1:18" ht="11.25">
      <c r="A113" s="104">
        <v>112</v>
      </c>
      <c r="B113" s="2">
        <v>1368000</v>
      </c>
      <c r="C113" s="104">
        <f t="shared" si="5"/>
        <v>33065595</v>
      </c>
      <c r="D113" s="2">
        <v>52560</v>
      </c>
      <c r="E113" s="2">
        <v>730</v>
      </c>
      <c r="F113" s="2">
        <f t="shared" si="6"/>
        <v>72</v>
      </c>
      <c r="R113" s="1" t="str">
        <f t="shared" si="4"/>
        <v>Niveau 112 : 1368000 / 33065595 / 52560 / 730 Laurels.</v>
      </c>
    </row>
    <row r="114" spans="1:18" ht="11.25">
      <c r="A114" s="104">
        <v>113</v>
      </c>
      <c r="B114" s="2">
        <v>1404000</v>
      </c>
      <c r="C114" s="104">
        <f t="shared" si="5"/>
        <v>34469595</v>
      </c>
      <c r="D114" s="2">
        <v>53640</v>
      </c>
      <c r="E114" s="2">
        <v>745</v>
      </c>
      <c r="F114" s="2">
        <f t="shared" si="6"/>
        <v>72</v>
      </c>
      <c r="R114" s="1" t="str">
        <f t="shared" si="4"/>
        <v>Niveau 113 : 1404000 / 34469595 / 53640 / 745 Laurels.</v>
      </c>
    </row>
    <row r="115" spans="1:18" ht="11.25">
      <c r="A115" s="104">
        <v>114</v>
      </c>
      <c r="B115" s="2">
        <v>1440000</v>
      </c>
      <c r="C115" s="104">
        <f t="shared" si="5"/>
        <v>35909595</v>
      </c>
      <c r="D115" s="2">
        <v>54720</v>
      </c>
      <c r="E115" s="2">
        <v>760</v>
      </c>
      <c r="F115" s="2">
        <f t="shared" si="6"/>
        <v>72</v>
      </c>
      <c r="R115" s="1" t="str">
        <f t="shared" si="4"/>
        <v>Niveau 114 : 1440000 / 35909595 / 54720 / 760 Laurels.</v>
      </c>
    </row>
    <row r="116" spans="1:18" ht="11.25">
      <c r="A116" s="104">
        <v>115</v>
      </c>
      <c r="B116" s="2">
        <v>1476000</v>
      </c>
      <c r="C116" s="104">
        <f t="shared" si="5"/>
        <v>37385595</v>
      </c>
      <c r="D116" s="2">
        <v>55800</v>
      </c>
      <c r="E116" s="2">
        <v>775</v>
      </c>
      <c r="F116" s="2">
        <f t="shared" si="6"/>
        <v>72</v>
      </c>
      <c r="R116" s="1" t="str">
        <f t="shared" si="4"/>
        <v>Niveau 115 : 1476000 / 37385595 / 55800 / 775 Laurels.</v>
      </c>
    </row>
    <row r="117" spans="1:18" ht="11.25">
      <c r="A117" s="104">
        <v>116</v>
      </c>
      <c r="B117" s="2">
        <v>1512000</v>
      </c>
      <c r="C117" s="104">
        <f t="shared" si="5"/>
        <v>38897595</v>
      </c>
      <c r="D117" s="2">
        <v>56880</v>
      </c>
      <c r="E117" s="2">
        <v>790</v>
      </c>
      <c r="F117" s="2">
        <f t="shared" si="6"/>
        <v>72</v>
      </c>
      <c r="R117" s="1" t="str">
        <f t="shared" si="4"/>
        <v>Niveau 116 : 1512000 / 38897595 / 56880 / 790 Laurels.</v>
      </c>
    </row>
    <row r="118" spans="1:18" ht="11.25">
      <c r="A118" s="104">
        <v>117</v>
      </c>
      <c r="B118" s="2">
        <v>1548000</v>
      </c>
      <c r="C118" s="104">
        <f t="shared" si="5"/>
        <v>40445595</v>
      </c>
      <c r="D118" s="2">
        <v>57960</v>
      </c>
      <c r="E118" s="2">
        <v>805</v>
      </c>
      <c r="F118" s="2">
        <f t="shared" si="6"/>
        <v>72</v>
      </c>
      <c r="R118" s="1" t="str">
        <f t="shared" si="4"/>
        <v>Niveau 117 : 1548000 / 40445595 / 57960 / 805 Laurels.</v>
      </c>
    </row>
    <row r="119" spans="1:18" ht="11.25">
      <c r="A119" s="104">
        <v>118</v>
      </c>
      <c r="B119" s="2">
        <v>1584000</v>
      </c>
      <c r="C119" s="104">
        <f t="shared" si="5"/>
        <v>42029595</v>
      </c>
      <c r="D119" s="2">
        <v>59040</v>
      </c>
      <c r="E119" s="2">
        <v>820</v>
      </c>
      <c r="F119" s="2">
        <f t="shared" si="6"/>
        <v>72</v>
      </c>
      <c r="R119" s="1" t="str">
        <f t="shared" si="4"/>
        <v>Niveau 118 : 1584000 / 42029595 / 59040 / 820 Laurels.</v>
      </c>
    </row>
    <row r="120" spans="1:18" ht="11.25">
      <c r="A120" s="104">
        <v>119</v>
      </c>
      <c r="B120" s="2">
        <v>1620000</v>
      </c>
      <c r="C120" s="104">
        <f t="shared" si="5"/>
        <v>43649595</v>
      </c>
      <c r="D120" s="2">
        <v>60120</v>
      </c>
      <c r="E120" s="2">
        <v>835</v>
      </c>
      <c r="F120" s="2">
        <f t="shared" si="6"/>
        <v>72</v>
      </c>
      <c r="R120" s="1" t="str">
        <f t="shared" si="4"/>
        <v>Niveau 119 : 1620000 / 43649595 / 60120 / 835 Laurels.</v>
      </c>
    </row>
    <row r="121" spans="1:18" ht="11.25">
      <c r="A121" s="122">
        <v>120</v>
      </c>
      <c r="B121" s="122">
        <v>1656000</v>
      </c>
      <c r="C121" s="152">
        <f t="shared" si="5"/>
        <v>45305595</v>
      </c>
      <c r="D121" s="122">
        <v>61200</v>
      </c>
      <c r="E121" s="122">
        <v>850</v>
      </c>
      <c r="F121" s="122">
        <f t="shared" si="6"/>
        <v>72</v>
      </c>
      <c r="R121" s="1" t="str">
        <f t="shared" si="4"/>
        <v>Niveau 120 : 1656000 / 45305595 / 61200 / 850 Laurels.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30" sqref="M30"/>
    </sheetView>
  </sheetViews>
  <sheetFormatPr defaultColWidth="11.421875" defaultRowHeight="15"/>
  <cols>
    <col min="1" max="1" width="2.7109375" style="2" bestFit="1" customWidth="1"/>
    <col min="2" max="2" width="16.140625" style="105" bestFit="1" customWidth="1"/>
    <col min="3" max="3" width="6.28125" style="2" bestFit="1" customWidth="1"/>
    <col min="4" max="4" width="3.8515625" style="2" bestFit="1" customWidth="1"/>
    <col min="5" max="6" width="5.28125" style="2" bestFit="1" customWidth="1"/>
    <col min="7" max="7" width="6.140625" style="2" bestFit="1" customWidth="1"/>
    <col min="8" max="8" width="5.28125" style="2" bestFit="1" customWidth="1"/>
    <col min="9" max="9" width="6.421875" style="2" customWidth="1"/>
    <col min="10" max="10" width="6.8515625" style="105" bestFit="1" customWidth="1"/>
    <col min="11" max="11" width="2.00390625" style="1" customWidth="1"/>
    <col min="12" max="12" width="9.00390625" style="2" bestFit="1" customWidth="1"/>
    <col min="13" max="13" width="5.28125" style="2" customWidth="1"/>
    <col min="14" max="14" width="3.421875" style="1" customWidth="1"/>
    <col min="15" max="15" width="2.8515625" style="1" customWidth="1"/>
    <col min="16" max="16" width="9.421875" style="1" bestFit="1" customWidth="1"/>
    <col min="17" max="17" width="39.7109375" style="1" bestFit="1" customWidth="1"/>
    <col min="18" max="18" width="9.140625" style="1" customWidth="1"/>
    <col min="19" max="19" width="5.8515625" style="1" customWidth="1"/>
    <col min="20" max="20" width="8.140625" style="1" customWidth="1"/>
    <col min="21" max="16384" width="11.421875" style="1" customWidth="1"/>
  </cols>
  <sheetData>
    <row r="1" spans="1:13" ht="12" thickBot="1">
      <c r="A1" s="14" t="s">
        <v>15</v>
      </c>
      <c r="B1" s="11"/>
      <c r="C1" s="4" t="s">
        <v>474</v>
      </c>
      <c r="D1" s="14" t="s">
        <v>475</v>
      </c>
      <c r="E1" s="11" t="s">
        <v>0</v>
      </c>
      <c r="F1" s="4" t="s">
        <v>18</v>
      </c>
      <c r="G1" s="14" t="s">
        <v>476</v>
      </c>
      <c r="H1" s="4" t="s">
        <v>477</v>
      </c>
      <c r="I1" s="4" t="s">
        <v>478</v>
      </c>
      <c r="J1" s="14" t="s">
        <v>1590</v>
      </c>
      <c r="L1" s="2" t="s">
        <v>479</v>
      </c>
      <c r="M1" s="2">
        <v>141.9</v>
      </c>
    </row>
    <row r="2" spans="1:13" ht="11.25">
      <c r="A2" s="106">
        <v>72</v>
      </c>
      <c r="B2" s="12"/>
      <c r="C2" s="126">
        <v>0.5</v>
      </c>
      <c r="D2" s="95">
        <v>0.3</v>
      </c>
      <c r="E2" s="12">
        <f>4100*($M$1/100)</f>
        <v>5817.900000000001</v>
      </c>
      <c r="F2" s="104">
        <f>28700*($M$1/100)</f>
        <v>40725.3</v>
      </c>
      <c r="G2" s="106">
        <f aca="true" t="shared" si="0" ref="G2:G33">F2*2</f>
        <v>81450.6</v>
      </c>
      <c r="H2" s="104">
        <f aca="true" t="shared" si="1" ref="H2:H33">F2-E2</f>
        <v>34907.4</v>
      </c>
      <c r="I2" s="104">
        <f aca="true" t="shared" si="2" ref="I2:I33">G2-E2</f>
        <v>75632.70000000001</v>
      </c>
      <c r="J2" s="106">
        <f aca="true" t="shared" si="3" ref="J2:J33">(G2*2)-E2</f>
        <v>157083.30000000002</v>
      </c>
      <c r="L2" s="105"/>
      <c r="M2" s="105"/>
    </row>
    <row r="3" spans="1:21" ht="11.25">
      <c r="A3" s="106">
        <v>71</v>
      </c>
      <c r="B3" s="12"/>
      <c r="C3" s="94">
        <v>0.9</v>
      </c>
      <c r="D3" s="99">
        <v>0.2</v>
      </c>
      <c r="E3" s="12">
        <f>4050*($M$1/100)</f>
        <v>5746.95</v>
      </c>
      <c r="F3" s="104">
        <f>20250*($M$1/100)</f>
        <v>28734.75</v>
      </c>
      <c r="G3" s="106">
        <f t="shared" si="0"/>
        <v>57469.5</v>
      </c>
      <c r="H3" s="104">
        <f t="shared" si="1"/>
        <v>22987.8</v>
      </c>
      <c r="I3" s="104">
        <f t="shared" si="2"/>
        <v>51722.55</v>
      </c>
      <c r="J3" s="106">
        <f t="shared" si="3"/>
        <v>109192.05</v>
      </c>
      <c r="L3" s="105"/>
      <c r="M3" s="105"/>
      <c r="R3" s="115" t="s">
        <v>1421</v>
      </c>
      <c r="S3" s="1" t="s">
        <v>1478</v>
      </c>
      <c r="T3" s="1" t="s">
        <v>1481</v>
      </c>
      <c r="U3" s="1" t="s">
        <v>1506</v>
      </c>
    </row>
    <row r="4" spans="1:21" ht="11.25">
      <c r="A4" s="106">
        <v>70</v>
      </c>
      <c r="B4" s="12"/>
      <c r="C4" s="125">
        <v>0.75</v>
      </c>
      <c r="D4" s="99">
        <v>0.2</v>
      </c>
      <c r="E4" s="12">
        <f>12000*($M$1/100)</f>
        <v>17028</v>
      </c>
      <c r="F4" s="104">
        <f>32000*($M$1/100)</f>
        <v>45408</v>
      </c>
      <c r="G4" s="106">
        <f t="shared" si="0"/>
        <v>90816</v>
      </c>
      <c r="H4" s="104">
        <f t="shared" si="1"/>
        <v>28380</v>
      </c>
      <c r="I4" s="104">
        <f t="shared" si="2"/>
        <v>73788</v>
      </c>
      <c r="J4" s="106">
        <f t="shared" si="3"/>
        <v>164604</v>
      </c>
      <c r="L4" s="105"/>
      <c r="M4" s="105"/>
      <c r="R4" s="115" t="s">
        <v>1432</v>
      </c>
      <c r="S4" s="1" t="s">
        <v>1482</v>
      </c>
      <c r="T4" s="1" t="s">
        <v>1480</v>
      </c>
      <c r="U4" s="1" t="s">
        <v>1479</v>
      </c>
    </row>
    <row r="5" spans="1:21" ht="11.25">
      <c r="A5" s="106">
        <v>69</v>
      </c>
      <c r="B5" s="12"/>
      <c r="C5" s="94">
        <v>0.9</v>
      </c>
      <c r="D5" s="97">
        <v>0.1</v>
      </c>
      <c r="E5" s="12">
        <f>23700*($M$1/100)</f>
        <v>33630.3</v>
      </c>
      <c r="F5" s="104">
        <f>39500*($M$1/100)</f>
        <v>56050.5</v>
      </c>
      <c r="G5" s="106">
        <f t="shared" si="0"/>
        <v>112101</v>
      </c>
      <c r="H5" s="104">
        <f t="shared" si="1"/>
        <v>22420.199999999997</v>
      </c>
      <c r="I5" s="104">
        <f t="shared" si="2"/>
        <v>78470.7</v>
      </c>
      <c r="J5" s="106">
        <f t="shared" si="3"/>
        <v>190571.7</v>
      </c>
      <c r="L5" s="105"/>
      <c r="M5" s="105"/>
      <c r="R5" s="115" t="s">
        <v>1502</v>
      </c>
      <c r="S5" s="1" t="s">
        <v>1503</v>
      </c>
      <c r="T5" s="1" t="s">
        <v>1505</v>
      </c>
      <c r="U5" s="1" t="s">
        <v>1504</v>
      </c>
    </row>
    <row r="6" spans="1:18" ht="11.25">
      <c r="A6" s="106">
        <v>68</v>
      </c>
      <c r="B6" s="12"/>
      <c r="C6" s="126">
        <v>0.5</v>
      </c>
      <c r="D6" s="95">
        <v>0.3</v>
      </c>
      <c r="E6" s="12">
        <f>3900*($M$1/100)</f>
        <v>5534.1</v>
      </c>
      <c r="F6" s="104">
        <f>27300*($M$1/100)</f>
        <v>38738.700000000004</v>
      </c>
      <c r="G6" s="106">
        <f t="shared" si="0"/>
        <v>77477.40000000001</v>
      </c>
      <c r="H6" s="104">
        <f t="shared" si="1"/>
        <v>33204.600000000006</v>
      </c>
      <c r="I6" s="104">
        <f t="shared" si="2"/>
        <v>71943.3</v>
      </c>
      <c r="J6" s="106">
        <f t="shared" si="3"/>
        <v>149420.7</v>
      </c>
      <c r="L6" s="105"/>
      <c r="M6" s="105"/>
      <c r="R6" s="115" t="s">
        <v>1597</v>
      </c>
    </row>
    <row r="7" spans="1:17" ht="11.25">
      <c r="A7" s="106">
        <v>67</v>
      </c>
      <c r="B7" s="12"/>
      <c r="C7" s="94">
        <v>0.9</v>
      </c>
      <c r="D7" s="99">
        <v>0.2</v>
      </c>
      <c r="E7" s="12">
        <f>3850*($M$1/100)</f>
        <v>5463.150000000001</v>
      </c>
      <c r="F7" s="104">
        <f>19250*($M$1/100)</f>
        <v>27315.75</v>
      </c>
      <c r="G7" s="106">
        <f t="shared" si="0"/>
        <v>54631.5</v>
      </c>
      <c r="H7" s="104">
        <f t="shared" si="1"/>
        <v>21852.6</v>
      </c>
      <c r="I7" s="104">
        <f t="shared" si="2"/>
        <v>49168.35</v>
      </c>
      <c r="J7" s="106">
        <f t="shared" si="3"/>
        <v>103799.85</v>
      </c>
      <c r="L7" s="105"/>
      <c r="M7" s="105"/>
      <c r="P7" s="1" t="s">
        <v>1522</v>
      </c>
      <c r="Q7" s="1" t="s">
        <v>1534</v>
      </c>
    </row>
    <row r="8" spans="1:17" ht="11.25">
      <c r="A8" s="106">
        <v>66</v>
      </c>
      <c r="B8" s="12"/>
      <c r="C8" s="125">
        <v>0.75</v>
      </c>
      <c r="D8" s="99">
        <v>0.2</v>
      </c>
      <c r="E8" s="12">
        <f>11400*($M$1/100)</f>
        <v>16176.6</v>
      </c>
      <c r="F8" s="104">
        <f>30400*($M$1/100)</f>
        <v>43137.6</v>
      </c>
      <c r="G8" s="106">
        <f t="shared" si="0"/>
        <v>86275.2</v>
      </c>
      <c r="H8" s="104">
        <f t="shared" si="1"/>
        <v>26961</v>
      </c>
      <c r="I8" s="104">
        <f t="shared" si="2"/>
        <v>70098.59999999999</v>
      </c>
      <c r="J8" s="106">
        <f t="shared" si="3"/>
        <v>156373.8</v>
      </c>
      <c r="L8" s="105"/>
      <c r="M8" s="105"/>
      <c r="P8" s="1" t="s">
        <v>1523</v>
      </c>
      <c r="Q8" s="1" t="s">
        <v>1535</v>
      </c>
    </row>
    <row r="9" spans="1:17" ht="11.25">
      <c r="A9" s="106">
        <v>65</v>
      </c>
      <c r="B9" s="12"/>
      <c r="C9" s="94">
        <v>0.9</v>
      </c>
      <c r="D9" s="97">
        <v>0.1</v>
      </c>
      <c r="E9" s="12">
        <f>22500*($M$1/100)</f>
        <v>31927.5</v>
      </c>
      <c r="F9" s="104">
        <f>37500*($M$1/100)</f>
        <v>53212.5</v>
      </c>
      <c r="G9" s="106">
        <f t="shared" si="0"/>
        <v>106425</v>
      </c>
      <c r="H9" s="104">
        <f t="shared" si="1"/>
        <v>21285</v>
      </c>
      <c r="I9" s="104">
        <f t="shared" si="2"/>
        <v>74497.5</v>
      </c>
      <c r="J9" s="106">
        <f t="shared" si="3"/>
        <v>180922.5</v>
      </c>
      <c r="L9" s="105"/>
      <c r="M9" s="105"/>
      <c r="P9" s="1" t="s">
        <v>1524</v>
      </c>
      <c r="Q9" s="1" t="s">
        <v>1536</v>
      </c>
    </row>
    <row r="10" spans="1:17" ht="11.25">
      <c r="A10" s="106">
        <v>64</v>
      </c>
      <c r="B10" s="12"/>
      <c r="C10" s="126">
        <v>0.5</v>
      </c>
      <c r="D10" s="95">
        <v>0.3</v>
      </c>
      <c r="E10" s="12">
        <f>3700*($M$1/100)</f>
        <v>5250.3</v>
      </c>
      <c r="F10" s="104">
        <f>25900*($M$1/100)</f>
        <v>36752.1</v>
      </c>
      <c r="G10" s="106">
        <f t="shared" si="0"/>
        <v>73504.2</v>
      </c>
      <c r="H10" s="104">
        <f t="shared" si="1"/>
        <v>31501.8</v>
      </c>
      <c r="I10" s="104">
        <f t="shared" si="2"/>
        <v>68253.9</v>
      </c>
      <c r="J10" s="106">
        <f t="shared" si="3"/>
        <v>141758.1</v>
      </c>
      <c r="L10" s="105"/>
      <c r="M10" s="105"/>
      <c r="P10" s="1" t="s">
        <v>1525</v>
      </c>
      <c r="Q10" s="1" t="s">
        <v>1537</v>
      </c>
    </row>
    <row r="11" spans="1:17" ht="11.25">
      <c r="A11" s="106">
        <v>63</v>
      </c>
      <c r="B11" s="12"/>
      <c r="C11" s="94">
        <v>0.9</v>
      </c>
      <c r="D11" s="99">
        <v>0.2</v>
      </c>
      <c r="E11" s="12">
        <f>3650*($M$1/100)</f>
        <v>5179.35</v>
      </c>
      <c r="F11" s="104">
        <f>18250*($M$1/100)</f>
        <v>25896.75</v>
      </c>
      <c r="G11" s="106">
        <f t="shared" si="0"/>
        <v>51793.5</v>
      </c>
      <c r="H11" s="104">
        <f t="shared" si="1"/>
        <v>20717.4</v>
      </c>
      <c r="I11" s="104">
        <f t="shared" si="2"/>
        <v>46614.15</v>
      </c>
      <c r="J11" s="106">
        <f t="shared" si="3"/>
        <v>98407.65</v>
      </c>
      <c r="L11" s="105"/>
      <c r="M11" s="105"/>
      <c r="P11" s="1" t="s">
        <v>1526</v>
      </c>
      <c r="Q11" s="1" t="s">
        <v>1568</v>
      </c>
    </row>
    <row r="12" spans="1:17" ht="11.25">
      <c r="A12" s="106">
        <v>62</v>
      </c>
      <c r="B12" s="12"/>
      <c r="C12" s="125">
        <v>0.75</v>
      </c>
      <c r="D12" s="99">
        <v>0.2</v>
      </c>
      <c r="E12" s="12">
        <f>10800*($M$1/100)</f>
        <v>15325.2</v>
      </c>
      <c r="F12" s="104">
        <f>28800*($M$1/100)</f>
        <v>40867.200000000004</v>
      </c>
      <c r="G12" s="106">
        <f t="shared" si="0"/>
        <v>81734.40000000001</v>
      </c>
      <c r="H12" s="104">
        <f t="shared" si="1"/>
        <v>25542.000000000004</v>
      </c>
      <c r="I12" s="104">
        <f t="shared" si="2"/>
        <v>66409.20000000001</v>
      </c>
      <c r="J12" s="106">
        <f t="shared" si="3"/>
        <v>148143.6</v>
      </c>
      <c r="L12" s="105"/>
      <c r="M12" s="105"/>
      <c r="P12" s="1" t="s">
        <v>1527</v>
      </c>
      <c r="Q12" s="1" t="s">
        <v>1569</v>
      </c>
    </row>
    <row r="13" spans="1:17" ht="11.25">
      <c r="A13" s="106">
        <v>61</v>
      </c>
      <c r="B13" s="12"/>
      <c r="C13" s="94">
        <v>0.9</v>
      </c>
      <c r="D13" s="97">
        <v>0.1</v>
      </c>
      <c r="E13" s="12">
        <f>21300*($M$1/100)</f>
        <v>30224.7</v>
      </c>
      <c r="F13" s="104">
        <f>35500*($M$1/100)</f>
        <v>50374.5</v>
      </c>
      <c r="G13" s="106">
        <f t="shared" si="0"/>
        <v>100749</v>
      </c>
      <c r="H13" s="104">
        <f t="shared" si="1"/>
        <v>20149.8</v>
      </c>
      <c r="I13" s="104">
        <f t="shared" si="2"/>
        <v>70524.3</v>
      </c>
      <c r="J13" s="106">
        <f t="shared" si="3"/>
        <v>171273.3</v>
      </c>
      <c r="L13" s="105"/>
      <c r="M13" s="105"/>
      <c r="P13" s="1" t="s">
        <v>1528</v>
      </c>
      <c r="Q13" s="1" t="s">
        <v>1538</v>
      </c>
    </row>
    <row r="14" spans="1:17" ht="11.25">
      <c r="A14" s="106">
        <v>60</v>
      </c>
      <c r="B14" s="12"/>
      <c r="C14" s="126">
        <v>0.5</v>
      </c>
      <c r="D14" s="95">
        <v>0.3</v>
      </c>
      <c r="E14" s="12">
        <f>3500*(M1/100)</f>
        <v>4966.5</v>
      </c>
      <c r="F14" s="104">
        <f>24500*($M$1/100)</f>
        <v>34765.5</v>
      </c>
      <c r="G14" s="106">
        <f t="shared" si="0"/>
        <v>69531</v>
      </c>
      <c r="H14" s="104">
        <f t="shared" si="1"/>
        <v>29799</v>
      </c>
      <c r="I14" s="104">
        <f t="shared" si="2"/>
        <v>64564.5</v>
      </c>
      <c r="J14" s="106">
        <f t="shared" si="3"/>
        <v>134095.5</v>
      </c>
      <c r="L14" s="105"/>
      <c r="M14" s="105"/>
      <c r="P14" s="1" t="s">
        <v>1529</v>
      </c>
      <c r="Q14" s="1" t="s">
        <v>1539</v>
      </c>
    </row>
    <row r="15" spans="1:17" ht="11.25">
      <c r="A15" s="106">
        <v>59</v>
      </c>
      <c r="B15" s="12"/>
      <c r="C15" s="94">
        <v>0.9</v>
      </c>
      <c r="D15" s="99">
        <v>0.2</v>
      </c>
      <c r="E15" s="12">
        <f>3450*($M$1/100)</f>
        <v>4895.55</v>
      </c>
      <c r="F15" s="104">
        <f>17250*($M$1/100)</f>
        <v>24477.75</v>
      </c>
      <c r="G15" s="106">
        <f t="shared" si="0"/>
        <v>48955.5</v>
      </c>
      <c r="H15" s="104">
        <f t="shared" si="1"/>
        <v>19582.2</v>
      </c>
      <c r="I15" s="104">
        <f t="shared" si="2"/>
        <v>44059.95</v>
      </c>
      <c r="J15" s="106">
        <f t="shared" si="3"/>
        <v>93015.45</v>
      </c>
      <c r="L15" s="105"/>
      <c r="M15" s="105"/>
      <c r="P15" s="1" t="s">
        <v>1530</v>
      </c>
      <c r="Q15" s="1" t="s">
        <v>1540</v>
      </c>
    </row>
    <row r="16" spans="1:17" ht="11.25">
      <c r="A16" s="106">
        <v>58</v>
      </c>
      <c r="B16" s="12"/>
      <c r="C16" s="125">
        <v>0.75</v>
      </c>
      <c r="D16" s="99">
        <v>0.2</v>
      </c>
      <c r="E16" s="12">
        <f>10200*($M$1/100)</f>
        <v>14473.800000000001</v>
      </c>
      <c r="F16" s="104">
        <f>27200*($M$1/100)</f>
        <v>38596.8</v>
      </c>
      <c r="G16" s="106">
        <f t="shared" si="0"/>
        <v>77193.6</v>
      </c>
      <c r="H16" s="104">
        <f t="shared" si="1"/>
        <v>24123</v>
      </c>
      <c r="I16" s="104">
        <f t="shared" si="2"/>
        <v>62719.8</v>
      </c>
      <c r="J16" s="106">
        <f t="shared" si="3"/>
        <v>139913.40000000002</v>
      </c>
      <c r="L16" s="105"/>
      <c r="M16" s="105"/>
      <c r="P16" s="1" t="s">
        <v>1531</v>
      </c>
      <c r="Q16" s="1" t="s">
        <v>1541</v>
      </c>
    </row>
    <row r="17" spans="1:17" ht="11.25">
      <c r="A17" s="106">
        <v>57</v>
      </c>
      <c r="B17" s="12"/>
      <c r="C17" s="94">
        <v>0.9</v>
      </c>
      <c r="D17" s="97">
        <v>0.1</v>
      </c>
      <c r="E17" s="12">
        <f>20100*($M$1/100)</f>
        <v>28521.9</v>
      </c>
      <c r="F17" s="104">
        <f>33500*($M$1/100)</f>
        <v>47536.5</v>
      </c>
      <c r="G17" s="106">
        <f t="shared" si="0"/>
        <v>95073</v>
      </c>
      <c r="H17" s="104">
        <f t="shared" si="1"/>
        <v>19014.6</v>
      </c>
      <c r="I17" s="104">
        <f t="shared" si="2"/>
        <v>66551.1</v>
      </c>
      <c r="J17" s="106">
        <f t="shared" si="3"/>
        <v>161624.1</v>
      </c>
      <c r="L17" s="105"/>
      <c r="M17" s="105"/>
      <c r="P17" s="1" t="s">
        <v>1532</v>
      </c>
      <c r="Q17" s="1" t="s">
        <v>1542</v>
      </c>
    </row>
    <row r="18" spans="1:17" ht="11.25">
      <c r="A18" s="106">
        <v>56</v>
      </c>
      <c r="B18" s="12"/>
      <c r="C18" s="126">
        <v>0.5</v>
      </c>
      <c r="D18" s="95">
        <v>0.3</v>
      </c>
      <c r="E18" s="12">
        <f>3300*($M$1/100)</f>
        <v>4682.7</v>
      </c>
      <c r="F18" s="104">
        <f>23100*($M$1/100)</f>
        <v>32778.9</v>
      </c>
      <c r="G18" s="106">
        <f t="shared" si="0"/>
        <v>65557.8</v>
      </c>
      <c r="H18" s="104">
        <f t="shared" si="1"/>
        <v>28096.2</v>
      </c>
      <c r="I18" s="104">
        <f t="shared" si="2"/>
        <v>60875.100000000006</v>
      </c>
      <c r="J18" s="106">
        <f t="shared" si="3"/>
        <v>126432.90000000001</v>
      </c>
      <c r="L18" s="105"/>
      <c r="M18" s="105"/>
      <c r="P18" s="1" t="s">
        <v>1533</v>
      </c>
      <c r="Q18" s="1" t="s">
        <v>1543</v>
      </c>
    </row>
    <row r="19" spans="1:13" ht="11.25">
      <c r="A19" s="106">
        <v>55</v>
      </c>
      <c r="B19" s="12"/>
      <c r="C19" s="94">
        <v>0.9</v>
      </c>
      <c r="D19" s="99">
        <v>0.2</v>
      </c>
      <c r="E19" s="12">
        <f>3250*($M$1/100)</f>
        <v>4611.75</v>
      </c>
      <c r="F19" s="104">
        <f>16200*($M$1/100)</f>
        <v>22987.8</v>
      </c>
      <c r="G19" s="106">
        <f t="shared" si="0"/>
        <v>45975.6</v>
      </c>
      <c r="H19" s="104">
        <f t="shared" si="1"/>
        <v>18376.05</v>
      </c>
      <c r="I19" s="104">
        <f t="shared" si="2"/>
        <v>41363.85</v>
      </c>
      <c r="J19" s="106">
        <f t="shared" si="3"/>
        <v>87339.45</v>
      </c>
      <c r="L19" s="105"/>
      <c r="M19" s="105"/>
    </row>
    <row r="20" spans="1:13" ht="11.25">
      <c r="A20" s="106">
        <v>54</v>
      </c>
      <c r="B20" s="12"/>
      <c r="C20" s="125">
        <v>0.75</v>
      </c>
      <c r="D20" s="99">
        <v>0.2</v>
      </c>
      <c r="E20" s="12">
        <f>9600*($M$1/100)</f>
        <v>13622.4</v>
      </c>
      <c r="F20" s="104">
        <f>25600*($M$1/100)</f>
        <v>36326.4</v>
      </c>
      <c r="G20" s="106">
        <f t="shared" si="0"/>
        <v>72652.8</v>
      </c>
      <c r="H20" s="104">
        <f t="shared" si="1"/>
        <v>22704</v>
      </c>
      <c r="I20" s="104">
        <f t="shared" si="2"/>
        <v>59030.4</v>
      </c>
      <c r="J20" s="106">
        <f t="shared" si="3"/>
        <v>131683.2</v>
      </c>
      <c r="L20" s="105"/>
      <c r="M20" s="105"/>
    </row>
    <row r="21" spans="1:16" ht="11.25">
      <c r="A21" s="106">
        <v>53</v>
      </c>
      <c r="B21" s="12"/>
      <c r="C21" s="94">
        <v>0.9</v>
      </c>
      <c r="D21" s="97">
        <v>0.1</v>
      </c>
      <c r="E21" s="12">
        <f>18900*($M$1/100)</f>
        <v>26819.100000000002</v>
      </c>
      <c r="F21" s="104">
        <f>31500*($M$1/100)</f>
        <v>44698.5</v>
      </c>
      <c r="G21" s="106">
        <f t="shared" si="0"/>
        <v>89397</v>
      </c>
      <c r="H21" s="104">
        <f t="shared" si="1"/>
        <v>17879.399999999998</v>
      </c>
      <c r="I21" s="104">
        <f t="shared" si="2"/>
        <v>62577.899999999994</v>
      </c>
      <c r="J21" s="106">
        <f t="shared" si="3"/>
        <v>151974.9</v>
      </c>
      <c r="L21" s="105"/>
      <c r="M21" s="105"/>
      <c r="P21" s="1">
        <f>129*1.1</f>
        <v>141.9</v>
      </c>
    </row>
    <row r="22" spans="1:13" ht="11.25">
      <c r="A22" s="106">
        <v>52</v>
      </c>
      <c r="B22" s="12"/>
      <c r="C22" s="126">
        <v>0.5</v>
      </c>
      <c r="D22" s="95">
        <v>0.3</v>
      </c>
      <c r="E22" s="12">
        <f>3100*($M$1/100)</f>
        <v>4398.900000000001</v>
      </c>
      <c r="F22" s="104">
        <f>21700*($M$1/100)</f>
        <v>30792.3</v>
      </c>
      <c r="G22" s="106">
        <f t="shared" si="0"/>
        <v>61584.6</v>
      </c>
      <c r="H22" s="104">
        <f t="shared" si="1"/>
        <v>26393.399999999998</v>
      </c>
      <c r="I22" s="104">
        <f t="shared" si="2"/>
        <v>57185.7</v>
      </c>
      <c r="J22" s="106">
        <f t="shared" si="3"/>
        <v>118770.3</v>
      </c>
      <c r="L22" s="105"/>
      <c r="M22" s="105"/>
    </row>
    <row r="23" spans="1:13" ht="11.25">
      <c r="A23" s="106">
        <v>51</v>
      </c>
      <c r="B23" s="12"/>
      <c r="C23" s="94">
        <v>0.9</v>
      </c>
      <c r="D23" s="99">
        <v>0.2</v>
      </c>
      <c r="E23" s="12">
        <f>3050*($M$1/100)</f>
        <v>4327.95</v>
      </c>
      <c r="F23" s="104">
        <f>15250*($M$1/100)</f>
        <v>21639.75</v>
      </c>
      <c r="G23" s="106">
        <f t="shared" si="0"/>
        <v>43279.5</v>
      </c>
      <c r="H23" s="104">
        <f t="shared" si="1"/>
        <v>17311.8</v>
      </c>
      <c r="I23" s="104">
        <f t="shared" si="2"/>
        <v>38951.55</v>
      </c>
      <c r="J23" s="106">
        <f t="shared" si="3"/>
        <v>82231.05</v>
      </c>
      <c r="L23" s="105"/>
      <c r="M23" s="105"/>
    </row>
    <row r="24" spans="1:13" ht="11.25">
      <c r="A24" s="106">
        <v>50</v>
      </c>
      <c r="B24" s="12"/>
      <c r="C24" s="125">
        <v>0.75</v>
      </c>
      <c r="D24" s="99">
        <v>0.2</v>
      </c>
      <c r="E24" s="12">
        <f>9000*($M$1/100)</f>
        <v>12771</v>
      </c>
      <c r="F24" s="104">
        <f>24000*($M$1/100)</f>
        <v>34056</v>
      </c>
      <c r="G24" s="106">
        <f t="shared" si="0"/>
        <v>68112</v>
      </c>
      <c r="H24" s="104">
        <f t="shared" si="1"/>
        <v>21285</v>
      </c>
      <c r="I24" s="104">
        <f t="shared" si="2"/>
        <v>55341</v>
      </c>
      <c r="J24" s="106">
        <f t="shared" si="3"/>
        <v>123453</v>
      </c>
      <c r="L24" s="105"/>
      <c r="M24" s="105"/>
    </row>
    <row r="25" spans="1:13" ht="11.25">
      <c r="A25" s="106">
        <v>49</v>
      </c>
      <c r="B25" s="12"/>
      <c r="C25" s="94">
        <v>0.9</v>
      </c>
      <c r="D25" s="97">
        <v>0.1</v>
      </c>
      <c r="E25" s="12">
        <f>17700*($M$1/100)</f>
        <v>25116.3</v>
      </c>
      <c r="F25" s="104">
        <f>29500*($M$1/100)</f>
        <v>41860.5</v>
      </c>
      <c r="G25" s="106">
        <f t="shared" si="0"/>
        <v>83721</v>
      </c>
      <c r="H25" s="104">
        <f t="shared" si="1"/>
        <v>16744.2</v>
      </c>
      <c r="I25" s="104">
        <f t="shared" si="2"/>
        <v>58604.7</v>
      </c>
      <c r="J25" s="106">
        <f t="shared" si="3"/>
        <v>142325.7</v>
      </c>
      <c r="L25" s="105"/>
      <c r="M25" s="105"/>
    </row>
    <row r="26" spans="1:13" ht="11.25">
      <c r="A26" s="106">
        <v>48</v>
      </c>
      <c r="B26" s="12"/>
      <c r="C26" s="126">
        <v>0.5</v>
      </c>
      <c r="D26" s="95">
        <v>0.3</v>
      </c>
      <c r="E26" s="12">
        <f>2900*($M$1/100)</f>
        <v>4115.1</v>
      </c>
      <c r="F26" s="104">
        <f>20300*($M$1/100)</f>
        <v>28805.7</v>
      </c>
      <c r="G26" s="106">
        <f t="shared" si="0"/>
        <v>57611.4</v>
      </c>
      <c r="H26" s="104">
        <f t="shared" si="1"/>
        <v>24690.6</v>
      </c>
      <c r="I26" s="104">
        <f t="shared" si="2"/>
        <v>53496.3</v>
      </c>
      <c r="J26" s="106">
        <f t="shared" si="3"/>
        <v>111107.7</v>
      </c>
      <c r="L26" s="105"/>
      <c r="M26" s="105"/>
    </row>
    <row r="27" spans="1:13" ht="11.25">
      <c r="A27" s="106">
        <v>47</v>
      </c>
      <c r="B27" s="12"/>
      <c r="C27" s="94">
        <v>0.9</v>
      </c>
      <c r="D27" s="99">
        <v>0.2</v>
      </c>
      <c r="E27" s="12">
        <f>2850*($M$1/100)</f>
        <v>4044.15</v>
      </c>
      <c r="F27" s="104">
        <f>14250*($M$1/100)</f>
        <v>20220.75</v>
      </c>
      <c r="G27" s="106">
        <f t="shared" si="0"/>
        <v>40441.5</v>
      </c>
      <c r="H27" s="104">
        <f t="shared" si="1"/>
        <v>16176.6</v>
      </c>
      <c r="I27" s="104">
        <f t="shared" si="2"/>
        <v>36397.35</v>
      </c>
      <c r="J27" s="106">
        <f t="shared" si="3"/>
        <v>76838.85</v>
      </c>
      <c r="L27" s="105"/>
      <c r="M27" s="105"/>
    </row>
    <row r="28" spans="1:13" ht="11.25">
      <c r="A28" s="106">
        <v>46</v>
      </c>
      <c r="B28" s="12"/>
      <c r="C28" s="126">
        <v>0.5</v>
      </c>
      <c r="D28" s="95">
        <v>0.3</v>
      </c>
      <c r="E28" s="12">
        <f>2800*($M$1/100)</f>
        <v>3973.2000000000003</v>
      </c>
      <c r="F28" s="104">
        <f>19600*($M$1/100)</f>
        <v>27812.4</v>
      </c>
      <c r="G28" s="106">
        <f t="shared" si="0"/>
        <v>55624.8</v>
      </c>
      <c r="H28" s="104">
        <f t="shared" si="1"/>
        <v>23839.2</v>
      </c>
      <c r="I28" s="104">
        <f t="shared" si="2"/>
        <v>51651.600000000006</v>
      </c>
      <c r="J28" s="106">
        <f t="shared" si="3"/>
        <v>107276.40000000001</v>
      </c>
      <c r="L28" s="105"/>
      <c r="M28" s="105"/>
    </row>
    <row r="29" spans="1:13" ht="11.25">
      <c r="A29" s="106">
        <v>45</v>
      </c>
      <c r="B29" s="12"/>
      <c r="C29" s="94">
        <v>0.9</v>
      </c>
      <c r="D29" s="99">
        <v>0.2</v>
      </c>
      <c r="E29" s="12">
        <f>2750*($M$1/100)</f>
        <v>3902.25</v>
      </c>
      <c r="F29" s="104">
        <f>13750*($M$1/100)</f>
        <v>19511.25</v>
      </c>
      <c r="G29" s="106">
        <f t="shared" si="0"/>
        <v>39022.5</v>
      </c>
      <c r="H29" s="104">
        <f t="shared" si="1"/>
        <v>15609</v>
      </c>
      <c r="I29" s="104">
        <f t="shared" si="2"/>
        <v>35120.25</v>
      </c>
      <c r="J29" s="106">
        <f t="shared" si="3"/>
        <v>74142.75</v>
      </c>
      <c r="L29" s="105"/>
      <c r="M29" s="105"/>
    </row>
    <row r="30" spans="1:13" ht="11.25">
      <c r="A30" s="106">
        <v>44</v>
      </c>
      <c r="B30" s="12"/>
      <c r="C30" s="126">
        <v>0.5</v>
      </c>
      <c r="D30" s="95">
        <v>0.3</v>
      </c>
      <c r="E30" s="12">
        <f>2700*($M$1/100)</f>
        <v>3831.3</v>
      </c>
      <c r="F30" s="104">
        <f>18900*($M$1/100)</f>
        <v>26819.100000000002</v>
      </c>
      <c r="G30" s="106">
        <f t="shared" si="0"/>
        <v>53638.200000000004</v>
      </c>
      <c r="H30" s="104">
        <f t="shared" si="1"/>
        <v>22987.800000000003</v>
      </c>
      <c r="I30" s="104">
        <f t="shared" si="2"/>
        <v>49806.9</v>
      </c>
      <c r="J30" s="106">
        <f t="shared" si="3"/>
        <v>103445.1</v>
      </c>
      <c r="L30" s="105"/>
      <c r="M30" s="105"/>
    </row>
    <row r="31" spans="1:13" ht="11.25">
      <c r="A31" s="106">
        <v>43</v>
      </c>
      <c r="B31" s="127" t="s">
        <v>1657</v>
      </c>
      <c r="C31" s="94">
        <v>0.9</v>
      </c>
      <c r="D31" s="99">
        <v>0.2</v>
      </c>
      <c r="E31" s="12">
        <f>2650*($M$1/100)</f>
        <v>3760.35</v>
      </c>
      <c r="F31" s="104">
        <f>13250*($M$1/100)</f>
        <v>18801.75</v>
      </c>
      <c r="G31" s="106">
        <f t="shared" si="0"/>
        <v>37603.5</v>
      </c>
      <c r="H31" s="104">
        <f t="shared" si="1"/>
        <v>15041.4</v>
      </c>
      <c r="I31" s="104">
        <f t="shared" si="2"/>
        <v>33843.15</v>
      </c>
      <c r="J31" s="106">
        <f t="shared" si="3"/>
        <v>71446.65</v>
      </c>
      <c r="L31" s="105"/>
      <c r="M31" s="105"/>
    </row>
    <row r="32" spans="1:13" ht="11.25">
      <c r="A32" s="106">
        <v>42</v>
      </c>
      <c r="B32" s="127" t="s">
        <v>1654</v>
      </c>
      <c r="C32" s="125">
        <v>0.75</v>
      </c>
      <c r="D32" s="99">
        <v>0.2</v>
      </c>
      <c r="E32" s="12">
        <f>7800*($M$1/100)</f>
        <v>11068.2</v>
      </c>
      <c r="F32" s="104">
        <f>20800*($M$1/100)</f>
        <v>29515.2</v>
      </c>
      <c r="G32" s="106">
        <f t="shared" si="0"/>
        <v>59030.4</v>
      </c>
      <c r="H32" s="104">
        <f t="shared" si="1"/>
        <v>18447</v>
      </c>
      <c r="I32" s="104">
        <f t="shared" si="2"/>
        <v>47962.2</v>
      </c>
      <c r="J32" s="106">
        <f t="shared" si="3"/>
        <v>106992.6</v>
      </c>
      <c r="L32" s="105"/>
      <c r="M32" s="105"/>
    </row>
    <row r="33" spans="1:13" ht="11.25">
      <c r="A33" s="106">
        <v>41</v>
      </c>
      <c r="B33" s="127" t="s">
        <v>1649</v>
      </c>
      <c r="C33" s="94">
        <v>0.9</v>
      </c>
      <c r="D33" s="97">
        <v>0.1</v>
      </c>
      <c r="E33" s="12">
        <f>15300*($M$1/100)</f>
        <v>21710.7</v>
      </c>
      <c r="F33" s="104">
        <f>25500*($M$1/100)</f>
        <v>36184.5</v>
      </c>
      <c r="G33" s="106">
        <f t="shared" si="0"/>
        <v>72369</v>
      </c>
      <c r="H33" s="104">
        <f t="shared" si="1"/>
        <v>14473.8</v>
      </c>
      <c r="I33" s="104">
        <f t="shared" si="2"/>
        <v>50658.3</v>
      </c>
      <c r="J33" s="106">
        <f t="shared" si="3"/>
        <v>123027.3</v>
      </c>
      <c r="L33" s="105"/>
      <c r="M33" s="105"/>
    </row>
    <row r="34" spans="1:13" ht="11.25">
      <c r="A34" s="106">
        <v>40</v>
      </c>
      <c r="B34" s="127" t="s">
        <v>1648</v>
      </c>
      <c r="C34" s="126">
        <v>0.5</v>
      </c>
      <c r="D34" s="95">
        <v>0.3</v>
      </c>
      <c r="E34" s="12">
        <f>2500*(M1/100)</f>
        <v>3547.5</v>
      </c>
      <c r="F34" s="104">
        <f>17500*(M1/100)</f>
        <v>24832.5</v>
      </c>
      <c r="G34" s="106">
        <f aca="true" t="shared" si="4" ref="G34:G47">F34*2</f>
        <v>49665</v>
      </c>
      <c r="H34" s="104">
        <f aca="true" t="shared" si="5" ref="H34:H47">F34-E34</f>
        <v>21285</v>
      </c>
      <c r="I34" s="104">
        <f aca="true" t="shared" si="6" ref="I34:I47">G34-E34</f>
        <v>46117.5</v>
      </c>
      <c r="J34" s="106">
        <f>(G34*2)-E34</f>
        <v>95782.5</v>
      </c>
      <c r="L34" s="105"/>
      <c r="M34" s="105"/>
    </row>
    <row r="35" spans="1:13" ht="11.25">
      <c r="A35" s="106">
        <v>39</v>
      </c>
      <c r="B35" s="127" t="s">
        <v>1647</v>
      </c>
      <c r="C35" s="94">
        <v>0.9</v>
      </c>
      <c r="D35" s="99">
        <v>0.2</v>
      </c>
      <c r="E35" s="12">
        <f>2450*(M1/100)</f>
        <v>3476.55</v>
      </c>
      <c r="F35" s="104">
        <f>12250*(M1/100)</f>
        <v>17382.75</v>
      </c>
      <c r="G35" s="106">
        <f t="shared" si="4"/>
        <v>34765.5</v>
      </c>
      <c r="H35" s="104">
        <f t="shared" si="5"/>
        <v>13906.2</v>
      </c>
      <c r="I35" s="104">
        <f t="shared" si="6"/>
        <v>31288.95</v>
      </c>
      <c r="J35" s="106">
        <f aca="true" t="shared" si="7" ref="J35:J46">(G35*2)-E35</f>
        <v>66054.45</v>
      </c>
      <c r="L35" s="105"/>
      <c r="M35" s="105"/>
    </row>
    <row r="36" spans="1:13" ht="11.25">
      <c r="A36" s="106">
        <v>38</v>
      </c>
      <c r="B36" s="127" t="s">
        <v>1645</v>
      </c>
      <c r="C36" s="126">
        <v>0.5</v>
      </c>
      <c r="D36" s="95">
        <v>0.3</v>
      </c>
      <c r="E36" s="12">
        <f>2400*(M1/100)</f>
        <v>3405.6</v>
      </c>
      <c r="F36" s="104">
        <f>16800*(M1/100)</f>
        <v>23839.2</v>
      </c>
      <c r="G36" s="106">
        <f t="shared" si="4"/>
        <v>47678.4</v>
      </c>
      <c r="H36" s="104">
        <f t="shared" si="5"/>
        <v>20433.600000000002</v>
      </c>
      <c r="I36" s="104">
        <f t="shared" si="6"/>
        <v>44272.8</v>
      </c>
      <c r="J36" s="106">
        <f t="shared" si="7"/>
        <v>91951.2</v>
      </c>
      <c r="L36" s="105"/>
      <c r="M36" s="105"/>
    </row>
    <row r="37" spans="1:13" ht="11.25">
      <c r="A37" s="106">
        <v>37</v>
      </c>
      <c r="B37" s="127" t="s">
        <v>1644</v>
      </c>
      <c r="C37" s="94">
        <v>0.9</v>
      </c>
      <c r="D37" s="99">
        <v>0.2</v>
      </c>
      <c r="E37" s="12">
        <f>2350*(M1/100)</f>
        <v>3334.65</v>
      </c>
      <c r="F37" s="104">
        <f>11750*(M1/100)</f>
        <v>16673.25</v>
      </c>
      <c r="G37" s="106">
        <f t="shared" si="4"/>
        <v>33346.5</v>
      </c>
      <c r="H37" s="104">
        <f t="shared" si="5"/>
        <v>13338.6</v>
      </c>
      <c r="I37" s="104">
        <f t="shared" si="6"/>
        <v>30011.85</v>
      </c>
      <c r="J37" s="106">
        <f t="shared" si="7"/>
        <v>63358.35</v>
      </c>
      <c r="L37" s="105"/>
      <c r="M37" s="105"/>
    </row>
    <row r="38" spans="1:13" ht="11.25">
      <c r="A38" s="106">
        <v>36</v>
      </c>
      <c r="B38" s="127" t="s">
        <v>1638</v>
      </c>
      <c r="C38" s="94">
        <v>0.9</v>
      </c>
      <c r="D38" s="99">
        <v>0.2</v>
      </c>
      <c r="E38" s="12">
        <f>2300*(M1/100)</f>
        <v>3263.7000000000003</v>
      </c>
      <c r="F38" s="104">
        <f>11500*(M1/100)</f>
        <v>16318.5</v>
      </c>
      <c r="G38" s="106">
        <f t="shared" si="4"/>
        <v>32637</v>
      </c>
      <c r="H38" s="104">
        <f t="shared" si="5"/>
        <v>13054.8</v>
      </c>
      <c r="I38" s="104">
        <f t="shared" si="6"/>
        <v>29373.3</v>
      </c>
      <c r="J38" s="106">
        <f t="shared" si="7"/>
        <v>62010.3</v>
      </c>
      <c r="L38" s="105"/>
      <c r="M38" s="105"/>
    </row>
    <row r="39" spans="1:13" ht="11.25">
      <c r="A39" s="106">
        <v>35</v>
      </c>
      <c r="B39" s="127" t="s">
        <v>1635</v>
      </c>
      <c r="C39" s="126">
        <v>0.5</v>
      </c>
      <c r="D39" s="95">
        <v>0.3</v>
      </c>
      <c r="E39" s="12">
        <f>2250*(M1/100)</f>
        <v>3192.75</v>
      </c>
      <c r="F39" s="104">
        <f>15750*(M1/100)</f>
        <v>22349.25</v>
      </c>
      <c r="G39" s="106">
        <f t="shared" si="4"/>
        <v>44698.5</v>
      </c>
      <c r="H39" s="104">
        <f t="shared" si="5"/>
        <v>19156.5</v>
      </c>
      <c r="I39" s="104">
        <f t="shared" si="6"/>
        <v>41505.75</v>
      </c>
      <c r="J39" s="106">
        <f t="shared" si="7"/>
        <v>86204.25</v>
      </c>
      <c r="L39" s="105"/>
      <c r="M39" s="105"/>
    </row>
    <row r="40" spans="1:13" ht="11.25">
      <c r="A40" s="106">
        <v>34</v>
      </c>
      <c r="B40" s="127" t="s">
        <v>1631</v>
      </c>
      <c r="C40" s="94">
        <v>0.9</v>
      </c>
      <c r="D40" s="99">
        <v>0.2</v>
      </c>
      <c r="E40" s="12">
        <f>2200*(M1/100)</f>
        <v>3121.8</v>
      </c>
      <c r="F40" s="104">
        <f>11000*(M1/100)</f>
        <v>15609</v>
      </c>
      <c r="G40" s="106">
        <f t="shared" si="4"/>
        <v>31218</v>
      </c>
      <c r="H40" s="104">
        <f t="shared" si="5"/>
        <v>12487.2</v>
      </c>
      <c r="I40" s="104">
        <f t="shared" si="6"/>
        <v>28096.2</v>
      </c>
      <c r="J40" s="106">
        <f t="shared" si="7"/>
        <v>59314.2</v>
      </c>
      <c r="L40" s="105"/>
      <c r="M40" s="105"/>
    </row>
    <row r="41" spans="1:13" ht="11.25">
      <c r="A41" s="106">
        <v>33</v>
      </c>
      <c r="B41" s="127" t="s">
        <v>1615</v>
      </c>
      <c r="C41" s="94">
        <v>0.9</v>
      </c>
      <c r="D41" s="99">
        <v>0.2</v>
      </c>
      <c r="E41" s="12">
        <f>2150*(M1/100)</f>
        <v>3050.85</v>
      </c>
      <c r="F41" s="104">
        <f>10750*(M1/100)</f>
        <v>15254.25</v>
      </c>
      <c r="G41" s="106">
        <f t="shared" si="4"/>
        <v>30508.5</v>
      </c>
      <c r="H41" s="104">
        <f t="shared" si="5"/>
        <v>12203.4</v>
      </c>
      <c r="I41" s="104">
        <f t="shared" si="6"/>
        <v>27457.65</v>
      </c>
      <c r="J41" s="106">
        <f t="shared" si="7"/>
        <v>57966.15</v>
      </c>
      <c r="L41" s="105"/>
      <c r="M41" s="105"/>
    </row>
    <row r="42" spans="1:13" ht="11.25">
      <c r="A42" s="106">
        <v>32</v>
      </c>
      <c r="B42" s="127" t="s">
        <v>1610</v>
      </c>
      <c r="C42" s="125">
        <v>0.75</v>
      </c>
      <c r="D42" s="99">
        <v>0.2</v>
      </c>
      <c r="E42" s="12">
        <f>6300*(M1/100)</f>
        <v>8939.7</v>
      </c>
      <c r="F42" s="104">
        <f>16800*(M1/100)</f>
        <v>23839.2</v>
      </c>
      <c r="G42" s="106">
        <f t="shared" si="4"/>
        <v>47678.4</v>
      </c>
      <c r="H42" s="104">
        <f t="shared" si="5"/>
        <v>14899.5</v>
      </c>
      <c r="I42" s="104">
        <f t="shared" si="6"/>
        <v>38738.7</v>
      </c>
      <c r="J42" s="106">
        <f t="shared" si="7"/>
        <v>86417.1</v>
      </c>
      <c r="L42" s="105"/>
      <c r="M42" s="105"/>
    </row>
    <row r="43" spans="1:13" ht="11.25">
      <c r="A43" s="106">
        <v>31</v>
      </c>
      <c r="B43" s="127" t="s">
        <v>1596</v>
      </c>
      <c r="C43" s="94">
        <v>0.9</v>
      </c>
      <c r="D43" s="97">
        <v>0.1</v>
      </c>
      <c r="E43" s="12">
        <f>12300*(M1/100)</f>
        <v>17453.7</v>
      </c>
      <c r="F43" s="104">
        <f>20500*(M1/100)</f>
        <v>29089.5</v>
      </c>
      <c r="G43" s="106">
        <f t="shared" si="4"/>
        <v>58179</v>
      </c>
      <c r="H43" s="104">
        <f t="shared" si="5"/>
        <v>11635.8</v>
      </c>
      <c r="I43" s="104">
        <f t="shared" si="6"/>
        <v>40725.3</v>
      </c>
      <c r="J43" s="106">
        <f t="shared" si="7"/>
        <v>98904.3</v>
      </c>
      <c r="L43" s="105"/>
      <c r="M43" s="105"/>
    </row>
    <row r="44" spans="1:13" ht="11.25">
      <c r="A44" s="106">
        <v>30</v>
      </c>
      <c r="B44" s="127" t="s">
        <v>1595</v>
      </c>
      <c r="C44" s="126">
        <v>0.5</v>
      </c>
      <c r="D44" s="95">
        <v>0.3</v>
      </c>
      <c r="E44" s="12">
        <f>2000*(M1/100)</f>
        <v>2838</v>
      </c>
      <c r="F44" s="104">
        <f>14000*(M1/100)</f>
        <v>19866</v>
      </c>
      <c r="G44" s="106">
        <f t="shared" si="4"/>
        <v>39732</v>
      </c>
      <c r="H44" s="104">
        <f t="shared" si="5"/>
        <v>17028</v>
      </c>
      <c r="I44" s="104">
        <f t="shared" si="6"/>
        <v>36894</v>
      </c>
      <c r="J44" s="106">
        <f t="shared" si="7"/>
        <v>76626</v>
      </c>
      <c r="L44" s="105"/>
      <c r="M44" s="105"/>
    </row>
    <row r="45" spans="1:13" ht="11.25">
      <c r="A45" s="106">
        <v>29</v>
      </c>
      <c r="B45" s="127" t="s">
        <v>1594</v>
      </c>
      <c r="C45" s="94">
        <v>0.9</v>
      </c>
      <c r="D45" s="99">
        <v>0.2</v>
      </c>
      <c r="E45" s="12">
        <f>1950*(M1/100)</f>
        <v>2767.05</v>
      </c>
      <c r="F45" s="104">
        <f>9750*(M1/100)</f>
        <v>13835.25</v>
      </c>
      <c r="G45" s="106">
        <f t="shared" si="4"/>
        <v>27670.5</v>
      </c>
      <c r="H45" s="104">
        <f t="shared" si="5"/>
        <v>11068.2</v>
      </c>
      <c r="I45" s="104">
        <f t="shared" si="6"/>
        <v>24903.45</v>
      </c>
      <c r="J45" s="106">
        <f t="shared" si="7"/>
        <v>52573.95</v>
      </c>
      <c r="L45" s="105"/>
      <c r="M45" s="105"/>
    </row>
    <row r="46" spans="1:13" ht="11.25">
      <c r="A46" s="106">
        <v>28</v>
      </c>
      <c r="B46" s="127" t="s">
        <v>1593</v>
      </c>
      <c r="C46" s="126">
        <v>0.5</v>
      </c>
      <c r="D46" s="95">
        <v>0.3</v>
      </c>
      <c r="E46" s="12">
        <f>1900*(M1/100)</f>
        <v>2696.1</v>
      </c>
      <c r="F46" s="104">
        <f>13300*(M1/100)</f>
        <v>18872.7</v>
      </c>
      <c r="G46" s="106">
        <f t="shared" si="4"/>
        <v>37745.4</v>
      </c>
      <c r="H46" s="104">
        <f t="shared" si="5"/>
        <v>16176.6</v>
      </c>
      <c r="I46" s="104">
        <f t="shared" si="6"/>
        <v>35049.3</v>
      </c>
      <c r="J46" s="106">
        <f t="shared" si="7"/>
        <v>72794.7</v>
      </c>
      <c r="L46" s="105"/>
      <c r="M46" s="105"/>
    </row>
    <row r="47" spans="1:13" ht="11.25">
      <c r="A47" s="106">
        <v>27</v>
      </c>
      <c r="B47" s="127" t="s">
        <v>1585</v>
      </c>
      <c r="C47" s="94">
        <v>0.9</v>
      </c>
      <c r="D47" s="99">
        <v>0.2</v>
      </c>
      <c r="E47" s="12">
        <f>1850*(M1/100)</f>
        <v>2625.15</v>
      </c>
      <c r="F47" s="104">
        <f>9250*(M1/100)</f>
        <v>13125.75</v>
      </c>
      <c r="G47" s="106">
        <f t="shared" si="4"/>
        <v>26251.5</v>
      </c>
      <c r="H47" s="104">
        <f t="shared" si="5"/>
        <v>10500.6</v>
      </c>
      <c r="I47" s="104">
        <f t="shared" si="6"/>
        <v>23626.35</v>
      </c>
      <c r="J47" s="106">
        <f aca="true" t="shared" si="8" ref="J47:J64">(G47*2)-E47</f>
        <v>49877.85</v>
      </c>
      <c r="L47" s="105"/>
      <c r="M47" s="105"/>
    </row>
    <row r="48" spans="1:13" ht="11.25">
      <c r="A48" s="106">
        <v>26</v>
      </c>
      <c r="B48" s="127" t="s">
        <v>1584</v>
      </c>
      <c r="C48" s="94">
        <v>0.9</v>
      </c>
      <c r="D48" s="99">
        <v>0.2</v>
      </c>
      <c r="E48" s="12">
        <f>1800*(M1/100)</f>
        <v>2554.2000000000003</v>
      </c>
      <c r="F48" s="104">
        <f>9000*(M1/100)</f>
        <v>12771</v>
      </c>
      <c r="G48" s="106">
        <f aca="true" t="shared" si="9" ref="G48:G54">F48*2</f>
        <v>25542</v>
      </c>
      <c r="H48" s="104">
        <f aca="true" t="shared" si="10" ref="H48:H54">F48-E48</f>
        <v>10216.8</v>
      </c>
      <c r="I48" s="104">
        <f aca="true" t="shared" si="11" ref="I48:I54">G48-E48</f>
        <v>22987.8</v>
      </c>
      <c r="J48" s="106">
        <f t="shared" si="8"/>
        <v>48529.8</v>
      </c>
      <c r="L48" s="105"/>
      <c r="M48" s="105"/>
    </row>
    <row r="49" spans="1:13" ht="11.25">
      <c r="A49" s="106">
        <v>25</v>
      </c>
      <c r="B49" s="127" t="s">
        <v>1583</v>
      </c>
      <c r="C49" s="126">
        <v>0.5</v>
      </c>
      <c r="D49" s="95">
        <v>0.3</v>
      </c>
      <c r="E49" s="12">
        <f>1750*(M1/100)</f>
        <v>2483.25</v>
      </c>
      <c r="F49" s="104">
        <f>12250*(M1/100)</f>
        <v>17382.75</v>
      </c>
      <c r="G49" s="106">
        <f t="shared" si="9"/>
        <v>34765.5</v>
      </c>
      <c r="H49" s="104">
        <f t="shared" si="10"/>
        <v>14899.5</v>
      </c>
      <c r="I49" s="104">
        <f t="shared" si="11"/>
        <v>32282.25</v>
      </c>
      <c r="J49" s="106">
        <f t="shared" si="8"/>
        <v>67047.75</v>
      </c>
      <c r="L49" s="105"/>
      <c r="M49" s="105"/>
    </row>
    <row r="50" spans="1:13" ht="11.25">
      <c r="A50" s="106">
        <v>24</v>
      </c>
      <c r="B50" s="127" t="s">
        <v>1582</v>
      </c>
      <c r="C50" s="94">
        <v>0.9</v>
      </c>
      <c r="D50" s="99">
        <v>0.2</v>
      </c>
      <c r="E50" s="12">
        <f>1700*(M1/100)</f>
        <v>2412.3</v>
      </c>
      <c r="F50" s="104">
        <f>8500*(M1/100)</f>
        <v>12061.5</v>
      </c>
      <c r="G50" s="106">
        <f t="shared" si="9"/>
        <v>24123</v>
      </c>
      <c r="H50" s="104">
        <f t="shared" si="10"/>
        <v>9649.2</v>
      </c>
      <c r="I50" s="104">
        <f t="shared" si="11"/>
        <v>21710.7</v>
      </c>
      <c r="J50" s="106">
        <f t="shared" si="8"/>
        <v>45833.7</v>
      </c>
      <c r="L50" s="105"/>
      <c r="M50" s="105"/>
    </row>
    <row r="51" spans="1:13" ht="11.25">
      <c r="A51" s="106">
        <v>23</v>
      </c>
      <c r="B51" s="127" t="s">
        <v>1518</v>
      </c>
      <c r="C51" s="94">
        <v>0.9</v>
      </c>
      <c r="D51" s="99">
        <v>0.2</v>
      </c>
      <c r="E51" s="12">
        <f>1650*(M1/100)</f>
        <v>2341.35</v>
      </c>
      <c r="F51" s="104">
        <f>8250*(M1/100)</f>
        <v>11706.75</v>
      </c>
      <c r="G51" s="106">
        <f t="shared" si="9"/>
        <v>23413.5</v>
      </c>
      <c r="H51" s="104">
        <f t="shared" si="10"/>
        <v>9365.4</v>
      </c>
      <c r="I51" s="104">
        <f t="shared" si="11"/>
        <v>21072.15</v>
      </c>
      <c r="J51" s="106">
        <f t="shared" si="8"/>
        <v>44485.65</v>
      </c>
      <c r="L51" s="105"/>
      <c r="M51" s="105"/>
    </row>
    <row r="52" spans="1:13" ht="11.25">
      <c r="A52" s="106">
        <v>22</v>
      </c>
      <c r="B52" s="127" t="s">
        <v>1509</v>
      </c>
      <c r="C52" s="125">
        <v>0.75</v>
      </c>
      <c r="D52" s="99">
        <v>0.2</v>
      </c>
      <c r="E52" s="12">
        <f>4800*(M1/100)</f>
        <v>6811.2</v>
      </c>
      <c r="F52" s="104">
        <f>12800*(M1/100)</f>
        <v>18163.2</v>
      </c>
      <c r="G52" s="106">
        <f t="shared" si="9"/>
        <v>36326.4</v>
      </c>
      <c r="H52" s="104">
        <f t="shared" si="10"/>
        <v>11352</v>
      </c>
      <c r="I52" s="104">
        <f t="shared" si="11"/>
        <v>29515.2</v>
      </c>
      <c r="J52" s="106">
        <f t="shared" si="8"/>
        <v>65841.6</v>
      </c>
      <c r="L52" s="105"/>
      <c r="M52" s="105"/>
    </row>
    <row r="53" spans="1:12" ht="11.25">
      <c r="A53" s="15">
        <v>21</v>
      </c>
      <c r="B53" s="127" t="s">
        <v>1500</v>
      </c>
      <c r="C53" s="94">
        <v>0.9</v>
      </c>
      <c r="D53" s="97">
        <v>0.1</v>
      </c>
      <c r="E53" s="12">
        <f>9300*(M1/100)</f>
        <v>13196.7</v>
      </c>
      <c r="F53" s="7">
        <f>15500*(M1/100)</f>
        <v>21994.5</v>
      </c>
      <c r="G53" s="15">
        <f t="shared" si="9"/>
        <v>43989</v>
      </c>
      <c r="H53" s="7">
        <f t="shared" si="10"/>
        <v>8797.8</v>
      </c>
      <c r="I53" s="104">
        <f t="shared" si="11"/>
        <v>30792.3</v>
      </c>
      <c r="J53" s="106">
        <f t="shared" si="8"/>
        <v>74781.3</v>
      </c>
      <c r="L53" s="105"/>
    </row>
    <row r="54" spans="1:10" ht="11.25">
      <c r="A54" s="15">
        <v>20</v>
      </c>
      <c r="B54" s="127" t="s">
        <v>1501</v>
      </c>
      <c r="C54" s="96">
        <v>0.5</v>
      </c>
      <c r="D54" s="95">
        <v>0.3</v>
      </c>
      <c r="E54" s="12">
        <f>1500*(M1/100)</f>
        <v>2128.5</v>
      </c>
      <c r="F54" s="2">
        <f>10500*(M1/100)</f>
        <v>14899.5</v>
      </c>
      <c r="G54" s="15">
        <f t="shared" si="9"/>
        <v>29799</v>
      </c>
      <c r="H54" s="2">
        <f t="shared" si="10"/>
        <v>12771</v>
      </c>
      <c r="I54" s="104">
        <f t="shared" si="11"/>
        <v>27670.5</v>
      </c>
      <c r="J54" s="106">
        <f t="shared" si="8"/>
        <v>57469.5</v>
      </c>
    </row>
    <row r="55" spans="1:10" ht="11.25">
      <c r="A55" s="15">
        <v>19</v>
      </c>
      <c r="B55" s="127" t="s">
        <v>1487</v>
      </c>
      <c r="C55" s="92">
        <v>0.9</v>
      </c>
      <c r="D55" s="99">
        <v>0.2</v>
      </c>
      <c r="E55" s="12">
        <f>1450*(M1/100)</f>
        <v>2057.55</v>
      </c>
      <c r="F55" s="2">
        <f>7250*(M1/100)</f>
        <v>10287.75</v>
      </c>
      <c r="G55" s="15">
        <f aca="true" t="shared" si="12" ref="G55:G73">F55*2</f>
        <v>20575.5</v>
      </c>
      <c r="H55" s="2">
        <f aca="true" t="shared" si="13" ref="H55:H73">F55-E55</f>
        <v>8230.2</v>
      </c>
      <c r="I55" s="104">
        <f aca="true" t="shared" si="14" ref="I55:I73">G55-E55</f>
        <v>18517.95</v>
      </c>
      <c r="J55" s="106">
        <f t="shared" si="8"/>
        <v>39093.45</v>
      </c>
    </row>
    <row r="56" spans="1:10" ht="11.25">
      <c r="A56" s="15">
        <v>18</v>
      </c>
      <c r="B56" s="49" t="s">
        <v>1476</v>
      </c>
      <c r="C56" s="96">
        <v>0.5</v>
      </c>
      <c r="D56" s="95">
        <v>0.3</v>
      </c>
      <c r="E56" s="12">
        <f>1400*(M1/100)</f>
        <v>1986.6000000000001</v>
      </c>
      <c r="F56" s="2">
        <f>9800*(M1/100)</f>
        <v>13906.2</v>
      </c>
      <c r="G56" s="15">
        <f t="shared" si="12"/>
        <v>27812.4</v>
      </c>
      <c r="H56" s="2">
        <f t="shared" si="13"/>
        <v>11919.6</v>
      </c>
      <c r="I56" s="104">
        <f t="shared" si="14"/>
        <v>25825.800000000003</v>
      </c>
      <c r="J56" s="106">
        <f t="shared" si="8"/>
        <v>53638.200000000004</v>
      </c>
    </row>
    <row r="57" spans="1:10" ht="11.25">
      <c r="A57" s="15">
        <v>17</v>
      </c>
      <c r="B57" s="49" t="s">
        <v>1474</v>
      </c>
      <c r="C57" s="92">
        <v>0.9</v>
      </c>
      <c r="D57" s="99">
        <v>0.2</v>
      </c>
      <c r="E57" s="12">
        <f>1350*(M1/100)</f>
        <v>1915.65</v>
      </c>
      <c r="F57" s="2">
        <f>6750*(M1/100)</f>
        <v>9578.25</v>
      </c>
      <c r="G57" s="15">
        <f t="shared" si="12"/>
        <v>19156.5</v>
      </c>
      <c r="H57" s="2">
        <f t="shared" si="13"/>
        <v>7662.6</v>
      </c>
      <c r="I57" s="104">
        <f t="shared" si="14"/>
        <v>17240.85</v>
      </c>
      <c r="J57" s="106">
        <f t="shared" si="8"/>
        <v>36397.35</v>
      </c>
    </row>
    <row r="58" spans="1:10" ht="11.25">
      <c r="A58" s="15">
        <v>16</v>
      </c>
      <c r="B58" s="49" t="s">
        <v>1473</v>
      </c>
      <c r="C58" s="92">
        <v>0.9</v>
      </c>
      <c r="D58" s="99">
        <v>0.2</v>
      </c>
      <c r="E58" s="12">
        <f>1300*(M1/100)</f>
        <v>1844.7</v>
      </c>
      <c r="F58" s="2">
        <f>6500*(M1/100)</f>
        <v>9223.5</v>
      </c>
      <c r="G58" s="15">
        <f t="shared" si="12"/>
        <v>18447</v>
      </c>
      <c r="H58" s="2">
        <f t="shared" si="13"/>
        <v>7378.8</v>
      </c>
      <c r="I58" s="104">
        <f t="shared" si="14"/>
        <v>16602.3</v>
      </c>
      <c r="J58" s="106">
        <f t="shared" si="8"/>
        <v>35049.3</v>
      </c>
    </row>
    <row r="59" spans="1:10" ht="11.25">
      <c r="A59" s="15">
        <v>15</v>
      </c>
      <c r="B59" s="49" t="s">
        <v>1472</v>
      </c>
      <c r="C59" s="96">
        <v>0.5</v>
      </c>
      <c r="D59" s="95">
        <v>0.3</v>
      </c>
      <c r="E59" s="12">
        <f>1250*(M1/100)</f>
        <v>1773.75</v>
      </c>
      <c r="F59" s="2">
        <f>8750*(M1/100)</f>
        <v>12416.25</v>
      </c>
      <c r="G59" s="15">
        <f t="shared" si="12"/>
        <v>24832.5</v>
      </c>
      <c r="H59" s="2">
        <f t="shared" si="13"/>
        <v>10642.5</v>
      </c>
      <c r="I59" s="104">
        <f t="shared" si="14"/>
        <v>23058.75</v>
      </c>
      <c r="J59" s="106">
        <f t="shared" si="8"/>
        <v>47891.25</v>
      </c>
    </row>
    <row r="60" spans="1:10" ht="11.25">
      <c r="A60" s="15">
        <v>14</v>
      </c>
      <c r="B60" s="49" t="s">
        <v>1468</v>
      </c>
      <c r="C60" s="92">
        <v>0.9</v>
      </c>
      <c r="D60" s="99">
        <v>0.2</v>
      </c>
      <c r="E60" s="12">
        <f>1200*(M1/100)</f>
        <v>1702.8</v>
      </c>
      <c r="F60" s="2">
        <f>6000*(M1/100)</f>
        <v>8514</v>
      </c>
      <c r="G60" s="15">
        <f t="shared" si="12"/>
        <v>17028</v>
      </c>
      <c r="H60" s="2">
        <f t="shared" si="13"/>
        <v>6811.2</v>
      </c>
      <c r="I60" s="104">
        <f t="shared" si="14"/>
        <v>15325.2</v>
      </c>
      <c r="J60" s="106">
        <f t="shared" si="8"/>
        <v>32353.2</v>
      </c>
    </row>
    <row r="61" spans="1:10" ht="11.25">
      <c r="A61" s="15">
        <v>13</v>
      </c>
      <c r="B61" s="49" t="s">
        <v>1464</v>
      </c>
      <c r="C61" s="92">
        <v>0.9</v>
      </c>
      <c r="D61" s="99">
        <v>0.2</v>
      </c>
      <c r="E61" s="12">
        <f>1150*(M1/100)</f>
        <v>1631.8500000000001</v>
      </c>
      <c r="F61" s="2">
        <f>5750*(M1/100)</f>
        <v>8159.25</v>
      </c>
      <c r="G61" s="15">
        <f t="shared" si="12"/>
        <v>16318.5</v>
      </c>
      <c r="H61" s="2">
        <f t="shared" si="13"/>
        <v>6527.4</v>
      </c>
      <c r="I61" s="104">
        <f t="shared" si="14"/>
        <v>14686.65</v>
      </c>
      <c r="J61" s="106">
        <f t="shared" si="8"/>
        <v>31005.15</v>
      </c>
    </row>
    <row r="62" spans="1:10" ht="11.25">
      <c r="A62" s="15">
        <v>12</v>
      </c>
      <c r="B62" s="49" t="s">
        <v>1459</v>
      </c>
      <c r="C62" s="98">
        <v>0.75</v>
      </c>
      <c r="D62" s="99">
        <v>0.2</v>
      </c>
      <c r="E62" s="12">
        <f>3300*(M1/100)</f>
        <v>4682.7</v>
      </c>
      <c r="F62" s="2">
        <f>8800*(M1/100)</f>
        <v>12487.2</v>
      </c>
      <c r="G62" s="15">
        <f t="shared" si="12"/>
        <v>24974.4</v>
      </c>
      <c r="H62" s="2">
        <f t="shared" si="13"/>
        <v>7804.500000000001</v>
      </c>
      <c r="I62" s="104">
        <f t="shared" si="14"/>
        <v>20291.7</v>
      </c>
      <c r="J62" s="106">
        <f t="shared" si="8"/>
        <v>45266.100000000006</v>
      </c>
    </row>
    <row r="63" spans="1:10" ht="11.25">
      <c r="A63" s="15">
        <v>11</v>
      </c>
      <c r="B63" s="49" t="s">
        <v>1458</v>
      </c>
      <c r="C63" s="92">
        <v>0.9</v>
      </c>
      <c r="D63" s="97">
        <v>0.1</v>
      </c>
      <c r="E63" s="12">
        <f>6300*(M1/100)</f>
        <v>8939.7</v>
      </c>
      <c r="F63" s="2">
        <f>10500*(M1/100)</f>
        <v>14899.5</v>
      </c>
      <c r="G63" s="15">
        <f t="shared" si="12"/>
        <v>29799</v>
      </c>
      <c r="H63" s="2">
        <f t="shared" si="13"/>
        <v>5959.799999999999</v>
      </c>
      <c r="I63" s="104">
        <f t="shared" si="14"/>
        <v>20859.3</v>
      </c>
      <c r="J63" s="106">
        <f t="shared" si="8"/>
        <v>50658.3</v>
      </c>
    </row>
    <row r="64" spans="1:10" ht="11.25">
      <c r="A64" s="15">
        <v>10</v>
      </c>
      <c r="B64" s="49" t="s">
        <v>1436</v>
      </c>
      <c r="C64" s="96">
        <v>0.5</v>
      </c>
      <c r="D64" s="95">
        <v>0.3</v>
      </c>
      <c r="E64" s="12">
        <f>1000*(M1/100)</f>
        <v>1419</v>
      </c>
      <c r="F64" s="2">
        <f>7000*(M1/100)</f>
        <v>9933</v>
      </c>
      <c r="G64" s="15">
        <f t="shared" si="12"/>
        <v>19866</v>
      </c>
      <c r="H64" s="2">
        <f t="shared" si="13"/>
        <v>8514</v>
      </c>
      <c r="I64" s="104">
        <f t="shared" si="14"/>
        <v>18447</v>
      </c>
      <c r="J64" s="106">
        <f t="shared" si="8"/>
        <v>38313</v>
      </c>
    </row>
    <row r="65" spans="1:10" ht="11.25">
      <c r="A65" s="15">
        <v>9</v>
      </c>
      <c r="B65" s="49" t="s">
        <v>1429</v>
      </c>
      <c r="C65" s="92">
        <v>0.9</v>
      </c>
      <c r="D65" s="99">
        <v>0.2</v>
      </c>
      <c r="E65" s="12">
        <f>950*(M1/100)</f>
        <v>1348.05</v>
      </c>
      <c r="F65" s="2">
        <f>4750*(M1/100)</f>
        <v>6740.25</v>
      </c>
      <c r="G65" s="15">
        <f t="shared" si="12"/>
        <v>13480.5</v>
      </c>
      <c r="H65" s="2">
        <f t="shared" si="13"/>
        <v>5392.2</v>
      </c>
      <c r="I65" s="104">
        <f t="shared" si="14"/>
        <v>12132.45</v>
      </c>
      <c r="J65" s="106">
        <f aca="true" t="shared" si="15" ref="J65:J72">(G65*2)-E65</f>
        <v>25612.95</v>
      </c>
    </row>
    <row r="66" spans="1:10" ht="11.25">
      <c r="A66" s="15">
        <v>8</v>
      </c>
      <c r="B66" s="49" t="s">
        <v>1419</v>
      </c>
      <c r="C66" s="96">
        <v>0.5</v>
      </c>
      <c r="D66" s="95">
        <v>0.3</v>
      </c>
      <c r="E66" s="12">
        <f>900*(M1/100)</f>
        <v>1277.1000000000001</v>
      </c>
      <c r="F66" s="2">
        <f>6300*(M1/100)</f>
        <v>8939.7</v>
      </c>
      <c r="G66" s="15">
        <f t="shared" si="12"/>
        <v>17879.4</v>
      </c>
      <c r="H66" s="2">
        <f t="shared" si="13"/>
        <v>7662.6</v>
      </c>
      <c r="I66" s="104">
        <f t="shared" si="14"/>
        <v>16602.300000000003</v>
      </c>
      <c r="J66" s="106">
        <f t="shared" si="15"/>
        <v>34481.700000000004</v>
      </c>
    </row>
    <row r="67" spans="1:10" ht="11.25">
      <c r="A67" s="15">
        <v>7</v>
      </c>
      <c r="B67" s="49" t="s">
        <v>1393</v>
      </c>
      <c r="C67" s="92">
        <v>0.9</v>
      </c>
      <c r="D67" s="99">
        <v>0.2</v>
      </c>
      <c r="E67" s="12">
        <f>850*(M1/100)</f>
        <v>1206.15</v>
      </c>
      <c r="F67" s="2">
        <f>4250*(M1/100)</f>
        <v>6030.75</v>
      </c>
      <c r="G67" s="15">
        <f t="shared" si="12"/>
        <v>12061.5</v>
      </c>
      <c r="H67" s="2">
        <f t="shared" si="13"/>
        <v>4824.6</v>
      </c>
      <c r="I67" s="104">
        <f t="shared" si="14"/>
        <v>10855.35</v>
      </c>
      <c r="J67" s="106">
        <f t="shared" si="15"/>
        <v>22916.85</v>
      </c>
    </row>
    <row r="68" spans="1:10" ht="11.25">
      <c r="A68" s="15">
        <v>6</v>
      </c>
      <c r="B68" s="49" t="s">
        <v>1383</v>
      </c>
      <c r="C68" s="96">
        <v>0.5</v>
      </c>
      <c r="D68" s="95">
        <v>0.3</v>
      </c>
      <c r="E68" s="12">
        <f>800*(M1/100)</f>
        <v>1135.2</v>
      </c>
      <c r="F68" s="2">
        <f>5600*(M1/100)</f>
        <v>7946.400000000001</v>
      </c>
      <c r="G68" s="15">
        <f t="shared" si="12"/>
        <v>15892.800000000001</v>
      </c>
      <c r="H68" s="2">
        <f t="shared" si="13"/>
        <v>6811.200000000001</v>
      </c>
      <c r="I68" s="104">
        <f t="shared" si="14"/>
        <v>14757.6</v>
      </c>
      <c r="J68" s="106">
        <f t="shared" si="15"/>
        <v>30650.4</v>
      </c>
    </row>
    <row r="69" spans="1:10" ht="11.25">
      <c r="A69" s="15">
        <v>5</v>
      </c>
      <c r="B69" s="49" t="s">
        <v>1367</v>
      </c>
      <c r="C69" s="92">
        <v>0.9</v>
      </c>
      <c r="D69" s="99">
        <v>0.2</v>
      </c>
      <c r="E69" s="12">
        <f>750*(M1/100)</f>
        <v>1064.25</v>
      </c>
      <c r="F69" s="2">
        <f>3750*(M1/100)</f>
        <v>5321.25</v>
      </c>
      <c r="G69" s="15">
        <f t="shared" si="12"/>
        <v>10642.5</v>
      </c>
      <c r="H69" s="2">
        <f t="shared" si="13"/>
        <v>4257</v>
      </c>
      <c r="I69" s="104">
        <f t="shared" si="14"/>
        <v>9578.25</v>
      </c>
      <c r="J69" s="106">
        <f t="shared" si="15"/>
        <v>20220.75</v>
      </c>
    </row>
    <row r="70" spans="1:10" ht="11.25">
      <c r="A70" s="15">
        <v>4</v>
      </c>
      <c r="B70" s="49" t="s">
        <v>1355</v>
      </c>
      <c r="C70" s="92">
        <v>0.9</v>
      </c>
      <c r="D70" s="99">
        <v>0.2</v>
      </c>
      <c r="E70" s="12">
        <f>700*(M1/100)</f>
        <v>993.3000000000001</v>
      </c>
      <c r="F70" s="2">
        <f>3500*(M1/100)</f>
        <v>4966.5</v>
      </c>
      <c r="G70" s="15">
        <f t="shared" si="12"/>
        <v>9933</v>
      </c>
      <c r="H70" s="2">
        <f t="shared" si="13"/>
        <v>3973.2</v>
      </c>
      <c r="I70" s="104">
        <f t="shared" si="14"/>
        <v>8939.7</v>
      </c>
      <c r="J70" s="106">
        <f t="shared" si="15"/>
        <v>18872.7</v>
      </c>
    </row>
    <row r="71" spans="1:10" ht="11.25">
      <c r="A71" s="15">
        <v>3</v>
      </c>
      <c r="B71" s="49" t="s">
        <v>1354</v>
      </c>
      <c r="C71" s="92">
        <v>0.9</v>
      </c>
      <c r="D71" s="99">
        <v>0.2</v>
      </c>
      <c r="E71" s="12">
        <f>650*(M1/100)</f>
        <v>922.35</v>
      </c>
      <c r="F71" s="2">
        <f>3250*(M1/100)</f>
        <v>4611.75</v>
      </c>
      <c r="G71" s="15">
        <f t="shared" si="12"/>
        <v>9223.5</v>
      </c>
      <c r="H71" s="2">
        <f t="shared" si="13"/>
        <v>3689.4</v>
      </c>
      <c r="I71" s="104">
        <f t="shared" si="14"/>
        <v>8301.15</v>
      </c>
      <c r="J71" s="106">
        <f t="shared" si="15"/>
        <v>17524.65</v>
      </c>
    </row>
    <row r="72" spans="1:10" ht="11.25">
      <c r="A72" s="15">
        <v>2</v>
      </c>
      <c r="B72" s="49" t="s">
        <v>1352</v>
      </c>
      <c r="C72" s="92">
        <v>0.9</v>
      </c>
      <c r="D72" s="99">
        <v>0.2</v>
      </c>
      <c r="E72" s="12">
        <f>600*(M1/100)</f>
        <v>851.4</v>
      </c>
      <c r="F72" s="2">
        <f>3000*(M1/100)</f>
        <v>4257</v>
      </c>
      <c r="G72" s="15">
        <f t="shared" si="12"/>
        <v>8514</v>
      </c>
      <c r="H72" s="2">
        <f t="shared" si="13"/>
        <v>3405.6</v>
      </c>
      <c r="I72" s="104">
        <f t="shared" si="14"/>
        <v>7662.6</v>
      </c>
      <c r="J72" s="106">
        <f t="shared" si="15"/>
        <v>16176.6</v>
      </c>
    </row>
    <row r="73" spans="1:15" ht="12" thickBot="1">
      <c r="A73" s="14">
        <v>1</v>
      </c>
      <c r="B73" s="50" t="s">
        <v>1351</v>
      </c>
      <c r="C73" s="93">
        <v>0.9</v>
      </c>
      <c r="D73" s="100">
        <v>0.2</v>
      </c>
      <c r="E73" s="11">
        <f>550*(M1/100)</f>
        <v>780.45</v>
      </c>
      <c r="F73" s="4">
        <f>2750*(M1/100)</f>
        <v>3902.25</v>
      </c>
      <c r="G73" s="14">
        <f t="shared" si="12"/>
        <v>7804.5</v>
      </c>
      <c r="H73" s="67">
        <f t="shared" si="13"/>
        <v>3121.8</v>
      </c>
      <c r="I73" s="4">
        <f t="shared" si="14"/>
        <v>7024.05</v>
      </c>
      <c r="J73" s="14">
        <f>(G73*2)-E73</f>
        <v>14828.55</v>
      </c>
      <c r="O73" s="1" t="str">
        <f>CONCATENATE("[b]Niveau ",A73,"[/b] : Réussite ([color=]",C73*100,"[/color]%), Transmutation ([color=]",D73*100,"[/color]%), Cout (",E73," dr), Vente (",F73," dr), Profit (",H73," dr), Profit Transmutation (",I73," dr)")</f>
        <v>[b]Niveau 1[/b] : Réussite ([color=]90[/color]%), Transmutation ([color=]20[/color]%), Cout (780,45 dr), Vente (3902,25 dr), Profit (3121,8 dr), Profit Transmutation (7024,05 dr)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148" sqref="A148"/>
    </sheetView>
  </sheetViews>
  <sheetFormatPr defaultColWidth="11.421875" defaultRowHeight="15"/>
  <cols>
    <col min="1" max="1" width="11.421875" style="1" bestFit="1" customWidth="1"/>
    <col min="2" max="2" width="5.28125" style="2" bestFit="1" customWidth="1"/>
    <col min="3" max="3" width="21.421875" style="2" bestFit="1" customWidth="1"/>
    <col min="4" max="5" width="3.421875" style="2" customWidth="1"/>
    <col min="6" max="6" width="3.57421875" style="2" customWidth="1"/>
    <col min="7" max="7" width="9.140625" style="2" bestFit="1" customWidth="1"/>
    <col min="8" max="8" width="18.140625" style="2" bestFit="1" customWidth="1"/>
    <col min="9" max="9" width="7.140625" style="2" customWidth="1"/>
    <col min="10" max="10" width="54.57421875" style="2" customWidth="1"/>
    <col min="11" max="11" width="17.28125" style="2" customWidth="1"/>
    <col min="12" max="12" width="80.57421875" style="2" bestFit="1" customWidth="1"/>
    <col min="13" max="13" width="2.28125" style="1" customWidth="1"/>
    <col min="14" max="14" width="3.57421875" style="105" bestFit="1" customWidth="1"/>
    <col min="15" max="16384" width="11.421875" style="1" customWidth="1"/>
  </cols>
  <sheetData>
    <row r="1" spans="1:12" ht="12" thickBot="1">
      <c r="A1" s="8" t="s">
        <v>520</v>
      </c>
      <c r="B1" s="14" t="s">
        <v>692</v>
      </c>
      <c r="C1" s="11" t="s">
        <v>693</v>
      </c>
      <c r="D1" s="4" t="s">
        <v>694</v>
      </c>
      <c r="E1" s="4" t="s">
        <v>695</v>
      </c>
      <c r="F1" s="14" t="s">
        <v>696</v>
      </c>
      <c r="G1" s="4" t="s">
        <v>697</v>
      </c>
      <c r="H1" s="4" t="s">
        <v>698</v>
      </c>
      <c r="I1" s="4" t="s">
        <v>699</v>
      </c>
      <c r="J1" s="14" t="s">
        <v>700</v>
      </c>
      <c r="K1" s="4" t="s">
        <v>701</v>
      </c>
      <c r="L1" s="14" t="s">
        <v>702</v>
      </c>
    </row>
    <row r="2" spans="1:14" ht="11.25">
      <c r="A2" s="9" t="s">
        <v>297</v>
      </c>
      <c r="B2" s="15">
        <v>0</v>
      </c>
      <c r="C2" s="12" t="s">
        <v>691</v>
      </c>
      <c r="D2" s="7">
        <v>76</v>
      </c>
      <c r="E2" s="7">
        <v>50</v>
      </c>
      <c r="F2" s="15">
        <v>54</v>
      </c>
      <c r="G2" s="7" t="s">
        <v>703</v>
      </c>
      <c r="H2" s="7" t="s">
        <v>798</v>
      </c>
      <c r="I2" s="7">
        <f aca="true" t="shared" si="0" ref="I2:I9">20+(7000/1000)*2</f>
        <v>34</v>
      </c>
      <c r="J2" s="15" t="s">
        <v>844</v>
      </c>
      <c r="K2" s="7" t="s">
        <v>824</v>
      </c>
      <c r="L2" s="15" t="s">
        <v>882</v>
      </c>
      <c r="N2" s="105">
        <f>D2+E2+F2</f>
        <v>180</v>
      </c>
    </row>
    <row r="3" spans="1:14" ht="11.25">
      <c r="A3" s="9" t="s">
        <v>680</v>
      </c>
      <c r="B3" s="15">
        <v>0</v>
      </c>
      <c r="C3" s="12" t="s">
        <v>691</v>
      </c>
      <c r="D3" s="7">
        <v>74</v>
      </c>
      <c r="E3" s="7">
        <v>57</v>
      </c>
      <c r="F3" s="15">
        <v>49</v>
      </c>
      <c r="G3" s="7" t="s">
        <v>98</v>
      </c>
      <c r="H3" s="7" t="s">
        <v>802</v>
      </c>
      <c r="I3" s="7">
        <f t="shared" si="0"/>
        <v>34</v>
      </c>
      <c r="J3" s="15" t="s">
        <v>848</v>
      </c>
      <c r="K3" s="7" t="s">
        <v>880</v>
      </c>
      <c r="L3" s="15" t="s">
        <v>881</v>
      </c>
      <c r="N3" s="105">
        <f aca="true" t="shared" si="1" ref="N3:N66">D3+E3+F3</f>
        <v>180</v>
      </c>
    </row>
    <row r="4" spans="1:14" ht="11.25">
      <c r="A4" s="9" t="s">
        <v>800</v>
      </c>
      <c r="B4" s="15">
        <v>0</v>
      </c>
      <c r="C4" s="12" t="s">
        <v>691</v>
      </c>
      <c r="D4" s="7">
        <v>43</v>
      </c>
      <c r="E4" s="7">
        <v>77</v>
      </c>
      <c r="F4" s="15">
        <v>60</v>
      </c>
      <c r="G4" s="7" t="s">
        <v>704</v>
      </c>
      <c r="H4" s="7" t="s">
        <v>801</v>
      </c>
      <c r="I4" s="7">
        <f t="shared" si="0"/>
        <v>34</v>
      </c>
      <c r="J4" s="15" t="s">
        <v>849</v>
      </c>
      <c r="K4" s="7" t="s">
        <v>831</v>
      </c>
      <c r="L4" s="15" t="s">
        <v>876</v>
      </c>
      <c r="N4" s="105">
        <f t="shared" si="1"/>
        <v>180</v>
      </c>
    </row>
    <row r="5" spans="1:14" ht="11.25">
      <c r="A5" s="9" t="s">
        <v>811</v>
      </c>
      <c r="B5" s="15">
        <v>0</v>
      </c>
      <c r="C5" s="12" t="s">
        <v>691</v>
      </c>
      <c r="D5" s="7">
        <v>47</v>
      </c>
      <c r="E5" s="7">
        <v>59</v>
      </c>
      <c r="F5" s="15">
        <v>74</v>
      </c>
      <c r="G5" s="7" t="s">
        <v>704</v>
      </c>
      <c r="H5" s="7" t="s">
        <v>812</v>
      </c>
      <c r="I5" s="7">
        <f t="shared" si="0"/>
        <v>34</v>
      </c>
      <c r="J5" s="15" t="s">
        <v>845</v>
      </c>
      <c r="K5" s="7" t="s">
        <v>872</v>
      </c>
      <c r="L5" s="15" t="s">
        <v>873</v>
      </c>
      <c r="N5" s="105">
        <f t="shared" si="1"/>
        <v>180</v>
      </c>
    </row>
    <row r="6" spans="1:14" ht="11.25">
      <c r="A6" s="9" t="s">
        <v>401</v>
      </c>
      <c r="B6" s="15">
        <v>0</v>
      </c>
      <c r="C6" s="12" t="s">
        <v>691</v>
      </c>
      <c r="D6" s="7">
        <v>52</v>
      </c>
      <c r="E6" s="7">
        <v>57</v>
      </c>
      <c r="F6" s="15">
        <v>71</v>
      </c>
      <c r="G6" s="7" t="s">
        <v>98</v>
      </c>
      <c r="H6" s="7" t="s">
        <v>816</v>
      </c>
      <c r="I6" s="7">
        <f t="shared" si="0"/>
        <v>34</v>
      </c>
      <c r="J6" s="15" t="s">
        <v>846</v>
      </c>
      <c r="K6" s="104" t="s">
        <v>827</v>
      </c>
      <c r="L6" s="15" t="s">
        <v>874</v>
      </c>
      <c r="N6" s="105">
        <f t="shared" si="1"/>
        <v>180</v>
      </c>
    </row>
    <row r="7" spans="1:14" ht="11.25">
      <c r="A7" s="9" t="s">
        <v>298</v>
      </c>
      <c r="B7" s="15">
        <v>0</v>
      </c>
      <c r="C7" s="12" t="s">
        <v>691</v>
      </c>
      <c r="D7" s="7">
        <v>63</v>
      </c>
      <c r="E7" s="7">
        <v>45</v>
      </c>
      <c r="F7" s="15">
        <v>72</v>
      </c>
      <c r="G7" s="7" t="s">
        <v>707</v>
      </c>
      <c r="H7" s="7" t="s">
        <v>102</v>
      </c>
      <c r="I7" s="7">
        <f t="shared" si="0"/>
        <v>34</v>
      </c>
      <c r="J7" s="15" t="s">
        <v>846</v>
      </c>
      <c r="K7" s="7" t="s">
        <v>825</v>
      </c>
      <c r="L7" s="15" t="s">
        <v>875</v>
      </c>
      <c r="N7" s="105">
        <f t="shared" si="1"/>
        <v>180</v>
      </c>
    </row>
    <row r="8" spans="1:14" ht="11.25">
      <c r="A8" s="9" t="s">
        <v>402</v>
      </c>
      <c r="B8" s="15">
        <v>0</v>
      </c>
      <c r="C8" s="12" t="s">
        <v>691</v>
      </c>
      <c r="D8" s="7">
        <v>52</v>
      </c>
      <c r="E8" s="7">
        <v>80</v>
      </c>
      <c r="F8" s="15">
        <v>48</v>
      </c>
      <c r="G8" s="7" t="s">
        <v>704</v>
      </c>
      <c r="H8" s="104" t="s">
        <v>813</v>
      </c>
      <c r="I8" s="7">
        <f t="shared" si="0"/>
        <v>34</v>
      </c>
      <c r="J8" s="15" t="s">
        <v>852</v>
      </c>
      <c r="K8" s="104" t="s">
        <v>829</v>
      </c>
      <c r="L8" s="15" t="s">
        <v>879</v>
      </c>
      <c r="N8" s="105">
        <f t="shared" si="1"/>
        <v>180</v>
      </c>
    </row>
    <row r="9" spans="1:14" ht="11.25">
      <c r="A9" s="10" t="s">
        <v>403</v>
      </c>
      <c r="B9" s="16">
        <v>0</v>
      </c>
      <c r="C9" s="13" t="s">
        <v>691</v>
      </c>
      <c r="D9" s="6">
        <v>79</v>
      </c>
      <c r="E9" s="6">
        <v>49</v>
      </c>
      <c r="F9" s="16">
        <v>52</v>
      </c>
      <c r="G9" s="6" t="s">
        <v>703</v>
      </c>
      <c r="H9" s="6" t="s">
        <v>810</v>
      </c>
      <c r="I9" s="6">
        <f t="shared" si="0"/>
        <v>34</v>
      </c>
      <c r="J9" s="16" t="s">
        <v>861</v>
      </c>
      <c r="K9" s="121" t="s">
        <v>826</v>
      </c>
      <c r="L9" s="16" t="s">
        <v>877</v>
      </c>
      <c r="N9" s="105">
        <f t="shared" si="1"/>
        <v>180</v>
      </c>
    </row>
    <row r="10" spans="1:14" ht="11.25">
      <c r="A10" s="9" t="s">
        <v>521</v>
      </c>
      <c r="B10" s="15">
        <v>500</v>
      </c>
      <c r="C10" s="12" t="s">
        <v>489</v>
      </c>
      <c r="D10" s="2">
        <v>68</v>
      </c>
      <c r="E10" s="2">
        <v>50</v>
      </c>
      <c r="F10" s="15">
        <v>49</v>
      </c>
      <c r="G10" s="2" t="s">
        <v>703</v>
      </c>
      <c r="H10" s="2" t="s">
        <v>803</v>
      </c>
      <c r="I10" s="2">
        <f>20+(B10/1000)*2</f>
        <v>21</v>
      </c>
      <c r="J10" s="15" t="s">
        <v>844</v>
      </c>
      <c r="K10" s="2" t="s">
        <v>825</v>
      </c>
      <c r="L10" s="15" t="s">
        <v>875</v>
      </c>
      <c r="N10" s="105">
        <f t="shared" si="1"/>
        <v>167</v>
      </c>
    </row>
    <row r="11" spans="1:14" ht="11.25">
      <c r="A11" s="9" t="s">
        <v>522</v>
      </c>
      <c r="B11" s="15">
        <v>800</v>
      </c>
      <c r="C11" s="12" t="s">
        <v>489</v>
      </c>
      <c r="D11" s="2">
        <v>43</v>
      </c>
      <c r="E11" s="2">
        <v>69</v>
      </c>
      <c r="F11" s="15">
        <v>63</v>
      </c>
      <c r="G11" s="2" t="s">
        <v>98</v>
      </c>
      <c r="H11" s="2" t="s">
        <v>804</v>
      </c>
      <c r="I11" s="2">
        <f aca="true" t="shared" si="2" ref="I11:I92">20+(B11/1000)*2</f>
        <v>21.6</v>
      </c>
      <c r="J11" s="15" t="s">
        <v>844</v>
      </c>
      <c r="K11" s="2" t="s">
        <v>826</v>
      </c>
      <c r="L11" s="15" t="s">
        <v>877</v>
      </c>
      <c r="N11" s="105">
        <f t="shared" si="1"/>
        <v>175</v>
      </c>
    </row>
    <row r="12" spans="1:14" ht="11.25">
      <c r="A12" s="10" t="s">
        <v>523</v>
      </c>
      <c r="B12" s="16">
        <v>1000</v>
      </c>
      <c r="C12" s="13" t="s">
        <v>489</v>
      </c>
      <c r="D12" s="6">
        <v>63</v>
      </c>
      <c r="E12" s="6">
        <v>42</v>
      </c>
      <c r="F12" s="16">
        <v>81</v>
      </c>
      <c r="G12" s="6" t="s">
        <v>704</v>
      </c>
      <c r="H12" s="6" t="s">
        <v>805</v>
      </c>
      <c r="I12" s="6">
        <f t="shared" si="2"/>
        <v>22</v>
      </c>
      <c r="J12" s="16" t="s">
        <v>861</v>
      </c>
      <c r="K12" s="121" t="s">
        <v>827</v>
      </c>
      <c r="L12" s="16" t="s">
        <v>874</v>
      </c>
      <c r="N12" s="105">
        <f t="shared" si="1"/>
        <v>186</v>
      </c>
    </row>
    <row r="13" spans="1:14" ht="11.25">
      <c r="A13" s="32" t="s">
        <v>524</v>
      </c>
      <c r="B13" s="15">
        <v>2000</v>
      </c>
      <c r="C13" s="12" t="s">
        <v>498</v>
      </c>
      <c r="D13" s="2">
        <v>62</v>
      </c>
      <c r="E13" s="2">
        <v>51</v>
      </c>
      <c r="F13" s="15">
        <v>51</v>
      </c>
      <c r="G13" s="2" t="s">
        <v>4</v>
      </c>
      <c r="H13" s="2" t="s">
        <v>814</v>
      </c>
      <c r="I13" s="20">
        <f t="shared" si="2"/>
        <v>24</v>
      </c>
      <c r="J13" s="15" t="s">
        <v>867</v>
      </c>
      <c r="K13" s="2" t="s">
        <v>885</v>
      </c>
      <c r="L13" s="106" t="s">
        <v>885</v>
      </c>
      <c r="N13" s="105">
        <f t="shared" si="1"/>
        <v>164</v>
      </c>
    </row>
    <row r="14" spans="1:14" ht="11.25">
      <c r="A14" s="9" t="s">
        <v>687</v>
      </c>
      <c r="B14" s="15">
        <v>3000</v>
      </c>
      <c r="C14" s="12" t="s">
        <v>498</v>
      </c>
      <c r="D14" s="2">
        <v>62</v>
      </c>
      <c r="E14" s="2">
        <v>87</v>
      </c>
      <c r="F14" s="15">
        <v>38</v>
      </c>
      <c r="G14" s="2" t="s">
        <v>703</v>
      </c>
      <c r="H14" s="2" t="s">
        <v>815</v>
      </c>
      <c r="I14" s="2">
        <f t="shared" si="2"/>
        <v>26</v>
      </c>
      <c r="J14" s="15" t="s">
        <v>866</v>
      </c>
      <c r="K14" s="2" t="s">
        <v>824</v>
      </c>
      <c r="L14" s="15" t="s">
        <v>882</v>
      </c>
      <c r="N14" s="105">
        <f t="shared" si="1"/>
        <v>187</v>
      </c>
    </row>
    <row r="15" spans="1:14" ht="11.25">
      <c r="A15" s="9" t="s">
        <v>299</v>
      </c>
      <c r="B15" s="15">
        <v>4000</v>
      </c>
      <c r="C15" s="12" t="s">
        <v>498</v>
      </c>
      <c r="D15" s="2">
        <v>46</v>
      </c>
      <c r="E15" s="2">
        <v>35</v>
      </c>
      <c r="F15" s="15">
        <v>88</v>
      </c>
      <c r="G15" s="2" t="s">
        <v>705</v>
      </c>
      <c r="H15" s="2" t="s">
        <v>809</v>
      </c>
      <c r="I15" s="2">
        <f t="shared" si="2"/>
        <v>28</v>
      </c>
      <c r="J15" s="15" t="s">
        <v>864</v>
      </c>
      <c r="K15" s="2" t="s">
        <v>885</v>
      </c>
      <c r="L15" s="106" t="s">
        <v>885</v>
      </c>
      <c r="N15" s="105">
        <f t="shared" si="1"/>
        <v>169</v>
      </c>
    </row>
    <row r="16" spans="1:14" ht="11.25">
      <c r="A16" s="10" t="s">
        <v>685</v>
      </c>
      <c r="B16" s="16">
        <v>4000</v>
      </c>
      <c r="C16" s="13" t="s">
        <v>498</v>
      </c>
      <c r="D16" s="6">
        <v>61</v>
      </c>
      <c r="E16" s="6">
        <v>80</v>
      </c>
      <c r="F16" s="16">
        <v>28</v>
      </c>
      <c r="G16" s="6" t="s">
        <v>98</v>
      </c>
      <c r="H16" s="6" t="s">
        <v>799</v>
      </c>
      <c r="I16" s="6">
        <f t="shared" si="2"/>
        <v>28</v>
      </c>
      <c r="J16" s="16" t="s">
        <v>845</v>
      </c>
      <c r="K16" s="6" t="s">
        <v>829</v>
      </c>
      <c r="L16" s="16" t="s">
        <v>879</v>
      </c>
      <c r="N16" s="105">
        <f t="shared" si="1"/>
        <v>169</v>
      </c>
    </row>
    <row r="17" spans="1:14" ht="11.25">
      <c r="A17" s="9" t="s">
        <v>686</v>
      </c>
      <c r="B17" s="15">
        <v>4000</v>
      </c>
      <c r="C17" s="12" t="s">
        <v>499</v>
      </c>
      <c r="D17" s="2">
        <v>71</v>
      </c>
      <c r="E17" s="2">
        <v>65</v>
      </c>
      <c r="F17" s="15">
        <v>31</v>
      </c>
      <c r="G17" s="2" t="s">
        <v>704</v>
      </c>
      <c r="H17" s="2" t="s">
        <v>817</v>
      </c>
      <c r="I17" s="2">
        <f>20+(B17/1000)*2</f>
        <v>28</v>
      </c>
      <c r="J17" s="15" t="s">
        <v>844</v>
      </c>
      <c r="K17" s="2" t="s">
        <v>827</v>
      </c>
      <c r="L17" s="15" t="s">
        <v>874</v>
      </c>
      <c r="N17" s="105">
        <f t="shared" si="1"/>
        <v>167</v>
      </c>
    </row>
    <row r="18" spans="1:14" ht="11.25">
      <c r="A18" s="33" t="s">
        <v>683</v>
      </c>
      <c r="B18" s="16">
        <v>5000</v>
      </c>
      <c r="C18" s="13" t="s">
        <v>499</v>
      </c>
      <c r="D18" s="6">
        <v>77</v>
      </c>
      <c r="E18" s="6">
        <v>78</v>
      </c>
      <c r="F18" s="16">
        <v>48</v>
      </c>
      <c r="G18" s="6" t="s">
        <v>703</v>
      </c>
      <c r="H18" s="6" t="s">
        <v>818</v>
      </c>
      <c r="I18" s="6">
        <f>20+(B18/1000)*2</f>
        <v>30</v>
      </c>
      <c r="J18" s="16" t="s">
        <v>863</v>
      </c>
      <c r="K18" s="6" t="s">
        <v>830</v>
      </c>
      <c r="L18" s="16" t="s">
        <v>878</v>
      </c>
      <c r="N18" s="105">
        <f t="shared" si="1"/>
        <v>203</v>
      </c>
    </row>
    <row r="19" spans="1:14" ht="11.25">
      <c r="A19" s="9" t="s">
        <v>300</v>
      </c>
      <c r="B19" s="15">
        <v>5000</v>
      </c>
      <c r="C19" s="12" t="s">
        <v>506</v>
      </c>
      <c r="D19" s="2">
        <v>33</v>
      </c>
      <c r="E19" s="2">
        <v>28</v>
      </c>
      <c r="F19" s="15">
        <v>93</v>
      </c>
      <c r="G19" s="2" t="s">
        <v>705</v>
      </c>
      <c r="H19" s="2" t="s">
        <v>819</v>
      </c>
      <c r="I19" s="2">
        <f t="shared" si="2"/>
        <v>30</v>
      </c>
      <c r="J19" s="15" t="s">
        <v>862</v>
      </c>
      <c r="K19" s="2" t="s">
        <v>885</v>
      </c>
      <c r="L19" s="106" t="s">
        <v>885</v>
      </c>
      <c r="N19" s="105">
        <f t="shared" si="1"/>
        <v>154</v>
      </c>
    </row>
    <row r="20" spans="1:14" ht="11.25">
      <c r="A20" s="32" t="s">
        <v>684</v>
      </c>
      <c r="B20" s="15">
        <v>5000</v>
      </c>
      <c r="C20" s="12" t="s">
        <v>506</v>
      </c>
      <c r="D20" s="2">
        <v>43</v>
      </c>
      <c r="E20" s="2">
        <v>29</v>
      </c>
      <c r="F20" s="15">
        <v>87</v>
      </c>
      <c r="G20" s="2" t="s">
        <v>100</v>
      </c>
      <c r="H20" s="2" t="s">
        <v>820</v>
      </c>
      <c r="I20" s="2">
        <f t="shared" si="2"/>
        <v>30</v>
      </c>
      <c r="J20" s="15" t="s">
        <v>865</v>
      </c>
      <c r="K20" s="2" t="s">
        <v>885</v>
      </c>
      <c r="L20" s="106" t="s">
        <v>885</v>
      </c>
      <c r="N20" s="105">
        <f t="shared" si="1"/>
        <v>159</v>
      </c>
    </row>
    <row r="21" spans="1:14" ht="11.25">
      <c r="A21" s="33" t="s">
        <v>301</v>
      </c>
      <c r="B21" s="16">
        <v>6000</v>
      </c>
      <c r="C21" s="13" t="s">
        <v>506</v>
      </c>
      <c r="D21" s="6">
        <v>68</v>
      </c>
      <c r="E21" s="6">
        <v>30</v>
      </c>
      <c r="F21" s="16">
        <v>103</v>
      </c>
      <c r="G21" s="6" t="s">
        <v>706</v>
      </c>
      <c r="H21" s="6" t="s">
        <v>821</v>
      </c>
      <c r="I21" s="6">
        <f t="shared" si="2"/>
        <v>32</v>
      </c>
      <c r="J21" s="16" t="s">
        <v>859</v>
      </c>
      <c r="K21" s="6" t="s">
        <v>885</v>
      </c>
      <c r="L21" s="143" t="s">
        <v>885</v>
      </c>
      <c r="N21" s="105">
        <f t="shared" si="1"/>
        <v>201</v>
      </c>
    </row>
    <row r="22" spans="1:14" ht="11.25">
      <c r="A22" s="34" t="s">
        <v>688</v>
      </c>
      <c r="B22" s="35">
        <v>3000</v>
      </c>
      <c r="C22" s="36" t="s">
        <v>513</v>
      </c>
      <c r="D22" s="37">
        <v>59</v>
      </c>
      <c r="E22" s="37">
        <v>57</v>
      </c>
      <c r="F22" s="35">
        <v>41</v>
      </c>
      <c r="G22" s="37" t="s">
        <v>4</v>
      </c>
      <c r="H22" s="37" t="s">
        <v>808</v>
      </c>
      <c r="I22" s="6">
        <f t="shared" si="2"/>
        <v>26</v>
      </c>
      <c r="J22" s="35" t="s">
        <v>856</v>
      </c>
      <c r="K22" s="37" t="s">
        <v>885</v>
      </c>
      <c r="L22" s="35" t="s">
        <v>885</v>
      </c>
      <c r="N22" s="105">
        <f t="shared" si="1"/>
        <v>157</v>
      </c>
    </row>
    <row r="23" spans="1:14" ht="11.25">
      <c r="A23" s="9" t="s">
        <v>690</v>
      </c>
      <c r="B23" s="15">
        <v>3000</v>
      </c>
      <c r="C23" s="12" t="s">
        <v>514</v>
      </c>
      <c r="D23" s="2">
        <v>43</v>
      </c>
      <c r="E23" s="2">
        <v>67</v>
      </c>
      <c r="F23" s="15">
        <v>33</v>
      </c>
      <c r="G23" s="2" t="s">
        <v>703</v>
      </c>
      <c r="H23" s="2" t="s">
        <v>806</v>
      </c>
      <c r="I23" s="2">
        <f t="shared" si="2"/>
        <v>26</v>
      </c>
      <c r="J23" s="15" t="s">
        <v>846</v>
      </c>
      <c r="K23" s="105" t="s">
        <v>828</v>
      </c>
      <c r="L23" s="15" t="s">
        <v>886</v>
      </c>
      <c r="N23" s="105">
        <f t="shared" si="1"/>
        <v>143</v>
      </c>
    </row>
    <row r="24" spans="1:14" ht="11.25">
      <c r="A24" s="9" t="s">
        <v>689</v>
      </c>
      <c r="B24" s="15">
        <v>3000</v>
      </c>
      <c r="C24" s="12" t="s">
        <v>514</v>
      </c>
      <c r="D24" s="2">
        <v>31</v>
      </c>
      <c r="E24" s="2">
        <v>79</v>
      </c>
      <c r="F24" s="15">
        <v>30</v>
      </c>
      <c r="G24" s="2" t="s">
        <v>704</v>
      </c>
      <c r="H24" s="2" t="s">
        <v>807</v>
      </c>
      <c r="I24" s="2">
        <f t="shared" si="2"/>
        <v>26</v>
      </c>
      <c r="J24" s="15" t="s">
        <v>846</v>
      </c>
      <c r="K24" s="2" t="s">
        <v>826</v>
      </c>
      <c r="L24" s="15" t="s">
        <v>877</v>
      </c>
      <c r="N24" s="105">
        <f t="shared" si="1"/>
        <v>140</v>
      </c>
    </row>
    <row r="25" spans="1:14" ht="11.25">
      <c r="A25" s="33" t="s">
        <v>837</v>
      </c>
      <c r="B25" s="16">
        <v>5000</v>
      </c>
      <c r="C25" s="13" t="s">
        <v>514</v>
      </c>
      <c r="D25" s="6">
        <v>68</v>
      </c>
      <c r="E25" s="6">
        <v>58</v>
      </c>
      <c r="F25" s="16">
        <v>37</v>
      </c>
      <c r="G25" s="6" t="s">
        <v>4</v>
      </c>
      <c r="H25" s="140" t="s">
        <v>822</v>
      </c>
      <c r="I25" s="6">
        <f t="shared" si="2"/>
        <v>30</v>
      </c>
      <c r="J25" s="16" t="s">
        <v>858</v>
      </c>
      <c r="K25" s="6" t="s">
        <v>885</v>
      </c>
      <c r="L25" s="143" t="s">
        <v>885</v>
      </c>
      <c r="N25" s="105">
        <f t="shared" si="1"/>
        <v>163</v>
      </c>
    </row>
    <row r="26" spans="1:14" ht="11.25">
      <c r="A26" s="9" t="s">
        <v>328</v>
      </c>
      <c r="B26" s="15">
        <v>5000</v>
      </c>
      <c r="C26" s="12" t="s">
        <v>843</v>
      </c>
      <c r="D26" s="2">
        <v>52</v>
      </c>
      <c r="E26" s="2">
        <v>93</v>
      </c>
      <c r="F26" s="15">
        <v>30</v>
      </c>
      <c r="G26" s="2" t="s">
        <v>703</v>
      </c>
      <c r="H26" s="105" t="s">
        <v>981</v>
      </c>
      <c r="I26" s="2">
        <f t="shared" si="2"/>
        <v>30</v>
      </c>
      <c r="J26" s="15" t="s">
        <v>847</v>
      </c>
      <c r="K26" s="105" t="s">
        <v>831</v>
      </c>
      <c r="L26" s="15" t="s">
        <v>876</v>
      </c>
      <c r="N26" s="105">
        <f t="shared" si="1"/>
        <v>175</v>
      </c>
    </row>
    <row r="27" spans="1:14" ht="11.25">
      <c r="A27" s="33" t="s">
        <v>1000</v>
      </c>
      <c r="B27" s="16">
        <v>8000</v>
      </c>
      <c r="C27" s="13" t="s">
        <v>843</v>
      </c>
      <c r="D27" s="6">
        <v>72</v>
      </c>
      <c r="E27" s="6">
        <v>88</v>
      </c>
      <c r="F27" s="16">
        <v>43</v>
      </c>
      <c r="G27" s="6" t="s">
        <v>703</v>
      </c>
      <c r="H27" s="130" t="s">
        <v>935</v>
      </c>
      <c r="I27" s="6">
        <f t="shared" si="2"/>
        <v>36</v>
      </c>
      <c r="J27" s="16" t="s">
        <v>849</v>
      </c>
      <c r="K27" s="130" t="s">
        <v>834</v>
      </c>
      <c r="L27" s="16" t="s">
        <v>889</v>
      </c>
      <c r="N27" s="105">
        <f t="shared" si="1"/>
        <v>203</v>
      </c>
    </row>
    <row r="28" spans="1:14" ht="11.25">
      <c r="A28" s="9" t="s">
        <v>912</v>
      </c>
      <c r="B28" s="15">
        <v>4000</v>
      </c>
      <c r="C28" s="12" t="s">
        <v>842</v>
      </c>
      <c r="D28" s="2">
        <v>72</v>
      </c>
      <c r="E28" s="2">
        <v>58</v>
      </c>
      <c r="F28" s="15">
        <v>43</v>
      </c>
      <c r="G28" s="2" t="s">
        <v>98</v>
      </c>
      <c r="H28" s="105" t="s">
        <v>913</v>
      </c>
      <c r="I28" s="2">
        <f t="shared" si="2"/>
        <v>28</v>
      </c>
      <c r="J28" s="15" t="s">
        <v>852</v>
      </c>
      <c r="K28" s="105" t="s">
        <v>898</v>
      </c>
      <c r="L28" s="15" t="s">
        <v>899</v>
      </c>
      <c r="N28" s="105">
        <f t="shared" si="1"/>
        <v>173</v>
      </c>
    </row>
    <row r="29" spans="1:14" ht="11.25">
      <c r="A29" s="9" t="s">
        <v>915</v>
      </c>
      <c r="B29" s="15">
        <v>4000</v>
      </c>
      <c r="C29" s="12" t="s">
        <v>842</v>
      </c>
      <c r="D29" s="2">
        <v>47</v>
      </c>
      <c r="E29" s="2">
        <v>58</v>
      </c>
      <c r="F29" s="15">
        <v>77</v>
      </c>
      <c r="G29" s="2" t="s">
        <v>100</v>
      </c>
      <c r="H29" s="105" t="s">
        <v>918</v>
      </c>
      <c r="I29" s="2">
        <f t="shared" si="2"/>
        <v>28</v>
      </c>
      <c r="J29" s="15" t="s">
        <v>851</v>
      </c>
      <c r="K29" s="2" t="s">
        <v>885</v>
      </c>
      <c r="L29" s="106" t="s">
        <v>885</v>
      </c>
      <c r="N29" s="105">
        <f t="shared" si="1"/>
        <v>182</v>
      </c>
    </row>
    <row r="30" spans="1:14" ht="11.25">
      <c r="A30" s="56" t="s">
        <v>1001</v>
      </c>
      <c r="B30" s="15">
        <v>6000</v>
      </c>
      <c r="C30" s="12" t="s">
        <v>842</v>
      </c>
      <c r="D30" s="2">
        <v>73</v>
      </c>
      <c r="E30" s="2">
        <v>82</v>
      </c>
      <c r="F30" s="15">
        <v>30</v>
      </c>
      <c r="G30" s="2" t="s">
        <v>704</v>
      </c>
      <c r="H30" s="105" t="s">
        <v>980</v>
      </c>
      <c r="I30" s="2">
        <f t="shared" si="2"/>
        <v>32</v>
      </c>
      <c r="J30" s="15" t="s">
        <v>860</v>
      </c>
      <c r="K30" s="105" t="s">
        <v>872</v>
      </c>
      <c r="L30" s="15" t="s">
        <v>873</v>
      </c>
      <c r="N30" s="105">
        <f t="shared" si="1"/>
        <v>185</v>
      </c>
    </row>
    <row r="31" spans="1:14" ht="11.25">
      <c r="A31" s="33" t="s">
        <v>329</v>
      </c>
      <c r="B31" s="16">
        <v>6000</v>
      </c>
      <c r="C31" s="13" t="s">
        <v>842</v>
      </c>
      <c r="D31" s="6">
        <v>69</v>
      </c>
      <c r="E31" s="6">
        <v>43</v>
      </c>
      <c r="F31" s="16">
        <v>72</v>
      </c>
      <c r="G31" s="6" t="s">
        <v>100</v>
      </c>
      <c r="H31" s="6" t="s">
        <v>918</v>
      </c>
      <c r="I31" s="6">
        <f t="shared" si="2"/>
        <v>32</v>
      </c>
      <c r="J31" s="16" t="s">
        <v>851</v>
      </c>
      <c r="K31" s="6" t="s">
        <v>885</v>
      </c>
      <c r="L31" s="143" t="s">
        <v>885</v>
      </c>
      <c r="N31" s="105">
        <f t="shared" si="1"/>
        <v>184</v>
      </c>
    </row>
    <row r="32" spans="1:14" ht="11.25">
      <c r="A32" s="32" t="s">
        <v>1008</v>
      </c>
      <c r="B32" s="15">
        <v>3000</v>
      </c>
      <c r="C32" s="12" t="s">
        <v>1003</v>
      </c>
      <c r="D32" s="2">
        <v>52</v>
      </c>
      <c r="E32" s="2">
        <v>82</v>
      </c>
      <c r="F32" s="15">
        <v>19</v>
      </c>
      <c r="G32" s="2" t="s">
        <v>704</v>
      </c>
      <c r="H32" s="105" t="s">
        <v>1044</v>
      </c>
      <c r="I32" s="2">
        <f t="shared" si="2"/>
        <v>26</v>
      </c>
      <c r="J32" s="15" t="s">
        <v>845</v>
      </c>
      <c r="K32" s="105" t="s">
        <v>831</v>
      </c>
      <c r="L32" s="15" t="s">
        <v>876</v>
      </c>
      <c r="N32" s="105">
        <f t="shared" si="1"/>
        <v>153</v>
      </c>
    </row>
    <row r="33" spans="1:14" ht="11.25">
      <c r="A33" s="56" t="s">
        <v>330</v>
      </c>
      <c r="B33" s="15">
        <v>4000</v>
      </c>
      <c r="C33" s="12" t="s">
        <v>1003</v>
      </c>
      <c r="D33" s="2">
        <v>70</v>
      </c>
      <c r="E33" s="2">
        <v>51</v>
      </c>
      <c r="F33" s="15">
        <v>61</v>
      </c>
      <c r="G33" s="2" t="s">
        <v>4</v>
      </c>
      <c r="H33" s="105" t="s">
        <v>1005</v>
      </c>
      <c r="I33" s="2">
        <f t="shared" si="2"/>
        <v>28</v>
      </c>
      <c r="J33" s="15" t="s">
        <v>868</v>
      </c>
      <c r="K33" s="2" t="s">
        <v>885</v>
      </c>
      <c r="L33" s="106" t="s">
        <v>885</v>
      </c>
      <c r="N33" s="105">
        <f t="shared" si="1"/>
        <v>182</v>
      </c>
    </row>
    <row r="34" spans="1:14" ht="11.25">
      <c r="A34" s="32" t="s">
        <v>331</v>
      </c>
      <c r="B34" s="15">
        <v>6000</v>
      </c>
      <c r="C34" s="12" t="s">
        <v>1003</v>
      </c>
      <c r="D34" s="2">
        <v>71</v>
      </c>
      <c r="E34" s="2">
        <v>73</v>
      </c>
      <c r="F34" s="15">
        <v>49</v>
      </c>
      <c r="G34" s="2" t="s">
        <v>4</v>
      </c>
      <c r="H34" s="105" t="s">
        <v>1082</v>
      </c>
      <c r="I34" s="2">
        <f t="shared" si="2"/>
        <v>32</v>
      </c>
      <c r="J34" s="15" t="s">
        <v>867</v>
      </c>
      <c r="K34" s="2" t="s">
        <v>885</v>
      </c>
      <c r="L34" s="106" t="s">
        <v>885</v>
      </c>
      <c r="N34" s="105">
        <f t="shared" si="1"/>
        <v>193</v>
      </c>
    </row>
    <row r="35" spans="1:14" ht="11.25">
      <c r="A35" s="10" t="s">
        <v>1074</v>
      </c>
      <c r="B35" s="16">
        <v>3000</v>
      </c>
      <c r="C35" s="13" t="s">
        <v>1003</v>
      </c>
      <c r="D35" s="6">
        <v>65</v>
      </c>
      <c r="E35" s="6">
        <v>29</v>
      </c>
      <c r="F35" s="16">
        <v>57</v>
      </c>
      <c r="G35" s="6" t="s">
        <v>98</v>
      </c>
      <c r="H35" s="131" t="s">
        <v>1136</v>
      </c>
      <c r="I35" s="6">
        <f t="shared" si="2"/>
        <v>26</v>
      </c>
      <c r="J35" s="16" t="s">
        <v>849</v>
      </c>
      <c r="K35" s="131" t="s">
        <v>830</v>
      </c>
      <c r="L35" s="16" t="s">
        <v>878</v>
      </c>
      <c r="N35" s="105">
        <f t="shared" si="1"/>
        <v>151</v>
      </c>
    </row>
    <row r="36" spans="1:14" ht="11.25">
      <c r="A36" s="9" t="s">
        <v>332</v>
      </c>
      <c r="B36" s="15">
        <v>3000</v>
      </c>
      <c r="C36" s="12" t="s">
        <v>1075</v>
      </c>
      <c r="D36" s="2">
        <v>48</v>
      </c>
      <c r="E36" s="2">
        <v>69</v>
      </c>
      <c r="F36" s="15">
        <v>34</v>
      </c>
      <c r="G36" s="2" t="s">
        <v>4</v>
      </c>
      <c r="H36" s="105" t="s">
        <v>1163</v>
      </c>
      <c r="I36" s="2">
        <f t="shared" si="2"/>
        <v>26</v>
      </c>
      <c r="J36" s="15" t="s">
        <v>1164</v>
      </c>
      <c r="K36" s="2" t="s">
        <v>885</v>
      </c>
      <c r="L36" s="106" t="s">
        <v>885</v>
      </c>
      <c r="N36" s="105">
        <f t="shared" si="1"/>
        <v>151</v>
      </c>
    </row>
    <row r="37" spans="1:14" ht="11.25">
      <c r="A37" s="9" t="s">
        <v>1171</v>
      </c>
      <c r="B37" s="15">
        <v>6000</v>
      </c>
      <c r="C37" s="12" t="s">
        <v>1075</v>
      </c>
      <c r="D37" s="2">
        <v>75</v>
      </c>
      <c r="E37" s="2">
        <v>62</v>
      </c>
      <c r="F37" s="15">
        <v>57</v>
      </c>
      <c r="G37" s="2" t="s">
        <v>98</v>
      </c>
      <c r="H37" s="105" t="s">
        <v>802</v>
      </c>
      <c r="I37" s="2">
        <f t="shared" si="2"/>
        <v>32</v>
      </c>
      <c r="J37" s="15" t="s">
        <v>848</v>
      </c>
      <c r="K37" s="105" t="s">
        <v>904</v>
      </c>
      <c r="L37" s="15" t="s">
        <v>905</v>
      </c>
      <c r="N37" s="105">
        <f t="shared" si="1"/>
        <v>194</v>
      </c>
    </row>
    <row r="38" spans="1:14" ht="11.25">
      <c r="A38" s="33" t="s">
        <v>1177</v>
      </c>
      <c r="B38" s="16">
        <v>8000</v>
      </c>
      <c r="C38" s="13" t="s">
        <v>1075</v>
      </c>
      <c r="D38" s="6">
        <v>84</v>
      </c>
      <c r="E38" s="6">
        <v>85</v>
      </c>
      <c r="F38" s="16">
        <v>38</v>
      </c>
      <c r="G38" s="6" t="s">
        <v>704</v>
      </c>
      <c r="H38" s="131" t="s">
        <v>812</v>
      </c>
      <c r="I38" s="6">
        <f t="shared" si="2"/>
        <v>36</v>
      </c>
      <c r="J38" s="16" t="s">
        <v>845</v>
      </c>
      <c r="K38" s="131" t="s">
        <v>883</v>
      </c>
      <c r="L38" s="16" t="s">
        <v>884</v>
      </c>
      <c r="N38" s="105">
        <f t="shared" si="1"/>
        <v>207</v>
      </c>
    </row>
    <row r="39" spans="1:14" ht="11.25">
      <c r="A39" s="9" t="s">
        <v>1200</v>
      </c>
      <c r="B39" s="15">
        <v>8000</v>
      </c>
      <c r="C39" s="12" t="s">
        <v>1138</v>
      </c>
      <c r="D39" s="2">
        <v>70</v>
      </c>
      <c r="E39" s="2">
        <v>101</v>
      </c>
      <c r="F39" s="15">
        <v>36</v>
      </c>
      <c r="G39" s="2" t="s">
        <v>703</v>
      </c>
      <c r="H39" s="2" t="s">
        <v>1089</v>
      </c>
      <c r="I39" s="2">
        <f t="shared" si="2"/>
        <v>36</v>
      </c>
      <c r="J39" s="15" t="s">
        <v>845</v>
      </c>
      <c r="K39" s="2" t="s">
        <v>824</v>
      </c>
      <c r="L39" s="15" t="s">
        <v>882</v>
      </c>
      <c r="N39" s="105">
        <f t="shared" si="1"/>
        <v>207</v>
      </c>
    </row>
    <row r="40" spans="1:14" ht="11.25">
      <c r="A40" s="9" t="s">
        <v>833</v>
      </c>
      <c r="B40" s="15">
        <v>6000</v>
      </c>
      <c r="C40" s="12" t="s">
        <v>1138</v>
      </c>
      <c r="D40" s="2">
        <v>68</v>
      </c>
      <c r="E40" s="2">
        <v>80</v>
      </c>
      <c r="F40" s="15">
        <v>43</v>
      </c>
      <c r="G40" s="2" t="s">
        <v>703</v>
      </c>
      <c r="H40" s="2" t="s">
        <v>1201</v>
      </c>
      <c r="I40" s="2">
        <f t="shared" si="2"/>
        <v>32</v>
      </c>
      <c r="J40" s="15" t="s">
        <v>866</v>
      </c>
      <c r="K40" s="2" t="s">
        <v>832</v>
      </c>
      <c r="L40" s="15" t="s">
        <v>890</v>
      </c>
      <c r="N40" s="105">
        <f t="shared" si="1"/>
        <v>191</v>
      </c>
    </row>
    <row r="41" spans="1:14" ht="11.25">
      <c r="A41" s="10" t="s">
        <v>1206</v>
      </c>
      <c r="B41" s="16">
        <v>8000</v>
      </c>
      <c r="C41" s="13" t="s">
        <v>1138</v>
      </c>
      <c r="D41" s="6">
        <v>87</v>
      </c>
      <c r="E41" s="6">
        <v>77</v>
      </c>
      <c r="F41" s="16">
        <v>37</v>
      </c>
      <c r="G41" s="6" t="s">
        <v>707</v>
      </c>
      <c r="H41" s="6" t="s">
        <v>102</v>
      </c>
      <c r="I41" s="6">
        <f t="shared" si="2"/>
        <v>36</v>
      </c>
      <c r="J41" s="16" t="s">
        <v>846</v>
      </c>
      <c r="K41" s="6" t="s">
        <v>880</v>
      </c>
      <c r="L41" s="16" t="s">
        <v>881</v>
      </c>
      <c r="N41" s="105">
        <f t="shared" si="1"/>
        <v>201</v>
      </c>
    </row>
    <row r="42" spans="1:14" ht="11.25">
      <c r="A42" s="9" t="s">
        <v>412</v>
      </c>
      <c r="B42" s="15">
        <v>4000</v>
      </c>
      <c r="C42" s="12" t="s">
        <v>1215</v>
      </c>
      <c r="D42" s="7">
        <v>32</v>
      </c>
      <c r="E42" s="7">
        <v>12</v>
      </c>
      <c r="F42" s="15">
        <v>85</v>
      </c>
      <c r="G42" s="7" t="s">
        <v>705</v>
      </c>
      <c r="H42" s="7" t="s">
        <v>938</v>
      </c>
      <c r="I42" s="2">
        <f t="shared" si="2"/>
        <v>28</v>
      </c>
      <c r="J42" s="15" t="s">
        <v>908</v>
      </c>
      <c r="K42" s="7" t="s">
        <v>885</v>
      </c>
      <c r="L42" s="106" t="s">
        <v>885</v>
      </c>
      <c r="N42" s="105">
        <f t="shared" si="1"/>
        <v>129</v>
      </c>
    </row>
    <row r="43" spans="1:14" ht="11.25">
      <c r="A43" s="9" t="s">
        <v>1225</v>
      </c>
      <c r="B43" s="15">
        <v>6000</v>
      </c>
      <c r="C43" s="12" t="s">
        <v>1215</v>
      </c>
      <c r="D43" s="7">
        <v>55</v>
      </c>
      <c r="E43" s="7">
        <v>95</v>
      </c>
      <c r="F43" s="15">
        <v>24</v>
      </c>
      <c r="G43" s="7" t="s">
        <v>703</v>
      </c>
      <c r="H43" s="7" t="s">
        <v>1226</v>
      </c>
      <c r="I43" s="2">
        <f t="shared" si="2"/>
        <v>32</v>
      </c>
      <c r="J43" s="15" t="s">
        <v>863</v>
      </c>
      <c r="K43" s="7" t="s">
        <v>891</v>
      </c>
      <c r="L43" s="106" t="s">
        <v>1386</v>
      </c>
      <c r="N43" s="105">
        <f t="shared" si="1"/>
        <v>174</v>
      </c>
    </row>
    <row r="44" spans="1:14" ht="11.25">
      <c r="A44" s="32" t="s">
        <v>942</v>
      </c>
      <c r="B44" s="15">
        <v>7000</v>
      </c>
      <c r="C44" s="12" t="s">
        <v>1215</v>
      </c>
      <c r="D44" s="7">
        <v>51</v>
      </c>
      <c r="E44" s="7">
        <v>97</v>
      </c>
      <c r="F44" s="15">
        <v>29</v>
      </c>
      <c r="G44" s="7" t="s">
        <v>704</v>
      </c>
      <c r="H44" s="104" t="s">
        <v>1191</v>
      </c>
      <c r="I44" s="2">
        <f t="shared" si="2"/>
        <v>34</v>
      </c>
      <c r="J44" s="106" t="s">
        <v>861</v>
      </c>
      <c r="K44" s="104" t="s">
        <v>892</v>
      </c>
      <c r="L44" s="106" t="s">
        <v>893</v>
      </c>
      <c r="N44" s="105">
        <f t="shared" si="1"/>
        <v>177</v>
      </c>
    </row>
    <row r="45" spans="1:14" ht="11.25">
      <c r="A45" s="10" t="s">
        <v>943</v>
      </c>
      <c r="B45" s="16">
        <v>7000</v>
      </c>
      <c r="C45" s="13" t="s">
        <v>1215</v>
      </c>
      <c r="D45" s="6">
        <v>79</v>
      </c>
      <c r="E45" s="6">
        <v>70</v>
      </c>
      <c r="F45" s="16">
        <v>51</v>
      </c>
      <c r="G45" s="6" t="s">
        <v>98</v>
      </c>
      <c r="H45" s="6" t="s">
        <v>913</v>
      </c>
      <c r="I45" s="6">
        <f t="shared" si="2"/>
        <v>34</v>
      </c>
      <c r="J45" s="16" t="s">
        <v>852</v>
      </c>
      <c r="K45" s="6" t="s">
        <v>829</v>
      </c>
      <c r="L45" s="16" t="s">
        <v>879</v>
      </c>
      <c r="N45" s="105">
        <f t="shared" si="1"/>
        <v>200</v>
      </c>
    </row>
    <row r="46" spans="1:14" ht="11.25">
      <c r="A46" s="32" t="s">
        <v>1180</v>
      </c>
      <c r="B46" s="15">
        <v>8000</v>
      </c>
      <c r="C46" s="12" t="s">
        <v>1216</v>
      </c>
      <c r="D46" s="7">
        <v>82</v>
      </c>
      <c r="E46" s="7">
        <v>90</v>
      </c>
      <c r="F46" s="15">
        <v>51</v>
      </c>
      <c r="G46" s="7" t="s">
        <v>4</v>
      </c>
      <c r="H46" s="7" t="s">
        <v>1273</v>
      </c>
      <c r="I46" s="2">
        <f t="shared" si="2"/>
        <v>36</v>
      </c>
      <c r="J46" s="15" t="s">
        <v>869</v>
      </c>
      <c r="K46" s="7" t="s">
        <v>885</v>
      </c>
      <c r="L46" s="106" t="s">
        <v>885</v>
      </c>
      <c r="N46" s="105">
        <f t="shared" si="1"/>
        <v>223</v>
      </c>
    </row>
    <row r="47" spans="1:14" ht="11.25">
      <c r="A47" s="32" t="s">
        <v>495</v>
      </c>
      <c r="B47" s="15">
        <v>8000</v>
      </c>
      <c r="C47" s="12" t="s">
        <v>1216</v>
      </c>
      <c r="D47" s="7">
        <v>54</v>
      </c>
      <c r="E47" s="7">
        <v>33</v>
      </c>
      <c r="F47" s="15">
        <v>87</v>
      </c>
      <c r="G47" s="7" t="s">
        <v>100</v>
      </c>
      <c r="H47" s="7" t="s">
        <v>820</v>
      </c>
      <c r="I47" s="2">
        <f t="shared" si="2"/>
        <v>36</v>
      </c>
      <c r="J47" s="15" t="s">
        <v>865</v>
      </c>
      <c r="K47" s="7" t="s">
        <v>885</v>
      </c>
      <c r="L47" s="106" t="s">
        <v>885</v>
      </c>
      <c r="N47" s="105">
        <f t="shared" si="1"/>
        <v>174</v>
      </c>
    </row>
    <row r="48" spans="1:14" ht="11.25">
      <c r="A48" s="33" t="s">
        <v>1332</v>
      </c>
      <c r="B48" s="16">
        <v>10000</v>
      </c>
      <c r="C48" s="13" t="s">
        <v>1216</v>
      </c>
      <c r="D48" s="6">
        <v>84</v>
      </c>
      <c r="E48" s="6">
        <v>120</v>
      </c>
      <c r="F48" s="16">
        <v>33</v>
      </c>
      <c r="G48" s="6" t="s">
        <v>704</v>
      </c>
      <c r="H48" s="124" t="s">
        <v>823</v>
      </c>
      <c r="I48" s="6">
        <f t="shared" si="2"/>
        <v>40</v>
      </c>
      <c r="J48" s="16" t="s">
        <v>844</v>
      </c>
      <c r="K48" s="147" t="s">
        <v>897</v>
      </c>
      <c r="L48" s="123" t="s">
        <v>896</v>
      </c>
      <c r="N48" s="105">
        <f t="shared" si="1"/>
        <v>237</v>
      </c>
    </row>
    <row r="49" spans="1:14" ht="11.25">
      <c r="A49" s="9" t="s">
        <v>1306</v>
      </c>
      <c r="B49" s="15">
        <v>10000</v>
      </c>
      <c r="C49" s="12" t="s">
        <v>1342</v>
      </c>
      <c r="D49" s="7">
        <v>80</v>
      </c>
      <c r="E49" s="7">
        <v>110</v>
      </c>
      <c r="F49" s="15">
        <v>50</v>
      </c>
      <c r="G49" s="7" t="s">
        <v>703</v>
      </c>
      <c r="H49" s="104" t="s">
        <v>1470</v>
      </c>
      <c r="I49" s="20">
        <f t="shared" si="2"/>
        <v>40</v>
      </c>
      <c r="J49" s="39" t="s">
        <v>1302</v>
      </c>
      <c r="K49" s="104" t="s">
        <v>1307</v>
      </c>
      <c r="L49" s="39" t="s">
        <v>1619</v>
      </c>
      <c r="N49" s="105">
        <f t="shared" si="1"/>
        <v>240</v>
      </c>
    </row>
    <row r="50" spans="1:14" ht="11.25">
      <c r="A50" s="33" t="s">
        <v>1486</v>
      </c>
      <c r="B50" s="16">
        <v>11000</v>
      </c>
      <c r="C50" s="13" t="s">
        <v>1342</v>
      </c>
      <c r="D50" s="6">
        <v>80</v>
      </c>
      <c r="E50" s="6">
        <v>70</v>
      </c>
      <c r="F50" s="16">
        <v>110</v>
      </c>
      <c r="G50" s="69" t="s">
        <v>100</v>
      </c>
      <c r="H50" s="6" t="s">
        <v>918</v>
      </c>
      <c r="I50" s="6">
        <f t="shared" si="2"/>
        <v>42</v>
      </c>
      <c r="J50" s="16" t="s">
        <v>851</v>
      </c>
      <c r="K50" s="6" t="s">
        <v>885</v>
      </c>
      <c r="L50" s="143" t="s">
        <v>885</v>
      </c>
      <c r="N50" s="105">
        <f t="shared" si="1"/>
        <v>260</v>
      </c>
    </row>
    <row r="51" spans="1:14" ht="11.25">
      <c r="A51" s="32" t="s">
        <v>1305</v>
      </c>
      <c r="B51" s="15">
        <v>10000</v>
      </c>
      <c r="C51" s="12" t="s">
        <v>1343</v>
      </c>
      <c r="D51" s="7">
        <v>115</v>
      </c>
      <c r="E51" s="7">
        <v>70</v>
      </c>
      <c r="F51" s="15">
        <v>80</v>
      </c>
      <c r="G51" s="7" t="s">
        <v>703</v>
      </c>
      <c r="H51" s="104" t="s">
        <v>1498</v>
      </c>
      <c r="I51" s="7">
        <f t="shared" si="2"/>
        <v>40</v>
      </c>
      <c r="J51" s="15" t="s">
        <v>846</v>
      </c>
      <c r="K51" s="104" t="s">
        <v>1304</v>
      </c>
      <c r="L51" s="106" t="s">
        <v>1621</v>
      </c>
      <c r="N51" s="105">
        <f t="shared" si="1"/>
        <v>265</v>
      </c>
    </row>
    <row r="52" spans="1:14" ht="11.25">
      <c r="A52" s="9" t="s">
        <v>1311</v>
      </c>
      <c r="B52" s="15">
        <v>10000</v>
      </c>
      <c r="C52" s="12" t="s">
        <v>1343</v>
      </c>
      <c r="D52" s="7">
        <v>100</v>
      </c>
      <c r="E52" s="7">
        <v>80</v>
      </c>
      <c r="F52" s="15">
        <v>90</v>
      </c>
      <c r="G52" s="7" t="s">
        <v>98</v>
      </c>
      <c r="H52" s="104" t="s">
        <v>1499</v>
      </c>
      <c r="I52" s="7">
        <f t="shared" si="2"/>
        <v>40</v>
      </c>
      <c r="J52" s="15" t="s">
        <v>846</v>
      </c>
      <c r="K52" s="104" t="s">
        <v>1310</v>
      </c>
      <c r="L52" s="106" t="s">
        <v>1620</v>
      </c>
      <c r="N52" s="105">
        <f t="shared" si="1"/>
        <v>270</v>
      </c>
    </row>
    <row r="53" spans="1:14" ht="11.25">
      <c r="A53" s="33" t="s">
        <v>1616</v>
      </c>
      <c r="B53" s="16">
        <v>11000</v>
      </c>
      <c r="C53" s="13" t="s">
        <v>1343</v>
      </c>
      <c r="D53" s="6">
        <v>85</v>
      </c>
      <c r="E53" s="6">
        <v>115</v>
      </c>
      <c r="F53" s="16">
        <v>45</v>
      </c>
      <c r="G53" s="6" t="s">
        <v>704</v>
      </c>
      <c r="H53" s="141" t="s">
        <v>1599</v>
      </c>
      <c r="I53" s="6">
        <f>20+(B53/1000)*2</f>
        <v>42</v>
      </c>
      <c r="J53" s="16" t="s">
        <v>845</v>
      </c>
      <c r="K53" s="141" t="s">
        <v>1303</v>
      </c>
      <c r="L53" s="143" t="s">
        <v>1622</v>
      </c>
      <c r="N53" s="105">
        <f t="shared" si="1"/>
        <v>245</v>
      </c>
    </row>
    <row r="54" spans="1:14" ht="11.25">
      <c r="A54" s="34" t="s">
        <v>1313</v>
      </c>
      <c r="B54" s="35">
        <v>11000</v>
      </c>
      <c r="C54" s="36" t="s">
        <v>1437</v>
      </c>
      <c r="D54" s="37">
        <v>80</v>
      </c>
      <c r="E54" s="37">
        <v>115</v>
      </c>
      <c r="F54" s="35">
        <v>40</v>
      </c>
      <c r="G54" s="37" t="s">
        <v>704</v>
      </c>
      <c r="H54" s="37" t="s">
        <v>1598</v>
      </c>
      <c r="I54" s="37">
        <f t="shared" si="2"/>
        <v>42</v>
      </c>
      <c r="J54" s="35" t="s">
        <v>846</v>
      </c>
      <c r="K54" s="37" t="s">
        <v>1639</v>
      </c>
      <c r="L54" s="35" t="s">
        <v>1623</v>
      </c>
      <c r="N54" s="105">
        <f t="shared" si="1"/>
        <v>235</v>
      </c>
    </row>
    <row r="55" spans="1:14" ht="11.25">
      <c r="A55" s="9" t="s">
        <v>1375</v>
      </c>
      <c r="B55" s="15">
        <v>10000</v>
      </c>
      <c r="C55" s="12" t="s">
        <v>1452</v>
      </c>
      <c r="D55" s="7">
        <v>85</v>
      </c>
      <c r="E55" s="7">
        <v>50</v>
      </c>
      <c r="F55" s="15">
        <v>115</v>
      </c>
      <c r="G55" s="7" t="s">
        <v>705</v>
      </c>
      <c r="H55" s="104" t="s">
        <v>1614</v>
      </c>
      <c r="I55" s="7">
        <f t="shared" si="2"/>
        <v>40</v>
      </c>
      <c r="J55" s="106" t="s">
        <v>1618</v>
      </c>
      <c r="K55" s="7" t="s">
        <v>885</v>
      </c>
      <c r="L55" s="106" t="s">
        <v>885</v>
      </c>
      <c r="N55" s="105">
        <f t="shared" si="1"/>
        <v>250</v>
      </c>
    </row>
    <row r="56" spans="1:14" ht="11.25">
      <c r="A56" s="9" t="s">
        <v>1438</v>
      </c>
      <c r="B56" s="15">
        <v>11000</v>
      </c>
      <c r="C56" s="12" t="s">
        <v>1452</v>
      </c>
      <c r="D56" s="7">
        <v>110</v>
      </c>
      <c r="E56" s="7">
        <v>80</v>
      </c>
      <c r="F56" s="15">
        <v>70</v>
      </c>
      <c r="G56" s="7" t="s">
        <v>4</v>
      </c>
      <c r="H56" s="104" t="s">
        <v>1601</v>
      </c>
      <c r="I56" s="7">
        <f t="shared" si="2"/>
        <v>42</v>
      </c>
      <c r="J56" s="106" t="s">
        <v>1439</v>
      </c>
      <c r="K56" s="7" t="s">
        <v>885</v>
      </c>
      <c r="L56" s="106" t="s">
        <v>885</v>
      </c>
      <c r="N56" s="105">
        <f t="shared" si="1"/>
        <v>260</v>
      </c>
    </row>
    <row r="57" spans="1:14" ht="11.25">
      <c r="A57" s="10" t="s">
        <v>1308</v>
      </c>
      <c r="B57" s="16">
        <v>12000</v>
      </c>
      <c r="C57" s="13" t="s">
        <v>1452</v>
      </c>
      <c r="D57" s="6">
        <v>100</v>
      </c>
      <c r="E57" s="6">
        <v>80</v>
      </c>
      <c r="F57" s="16">
        <v>100</v>
      </c>
      <c r="G57" s="6" t="s">
        <v>703</v>
      </c>
      <c r="H57" s="146" t="s">
        <v>1636</v>
      </c>
      <c r="I57" s="6">
        <f t="shared" si="2"/>
        <v>44</v>
      </c>
      <c r="J57" s="148" t="s">
        <v>1626</v>
      </c>
      <c r="K57" s="132" t="s">
        <v>1309</v>
      </c>
      <c r="L57" s="143" t="s">
        <v>1624</v>
      </c>
      <c r="N57" s="105">
        <f t="shared" si="1"/>
        <v>280</v>
      </c>
    </row>
    <row r="58" spans="1:14" ht="11.25">
      <c r="A58" s="9" t="s">
        <v>1575</v>
      </c>
      <c r="B58" s="106">
        <v>10000</v>
      </c>
      <c r="C58" s="12" t="s">
        <v>1508</v>
      </c>
      <c r="D58" s="104">
        <v>88</v>
      </c>
      <c r="E58" s="104">
        <v>60</v>
      </c>
      <c r="F58" s="106">
        <v>105</v>
      </c>
      <c r="G58" s="104" t="s">
        <v>705</v>
      </c>
      <c r="H58" s="104" t="s">
        <v>1627</v>
      </c>
      <c r="I58" s="104">
        <f t="shared" si="2"/>
        <v>40</v>
      </c>
      <c r="J58" s="106" t="s">
        <v>862</v>
      </c>
      <c r="K58" s="104" t="s">
        <v>885</v>
      </c>
      <c r="L58" s="106" t="s">
        <v>885</v>
      </c>
      <c r="N58" s="105">
        <f t="shared" si="1"/>
        <v>253</v>
      </c>
    </row>
    <row r="59" spans="1:14" ht="11.25">
      <c r="A59" s="9" t="s">
        <v>1587</v>
      </c>
      <c r="B59" s="106">
        <v>11000</v>
      </c>
      <c r="C59" s="12" t="s">
        <v>1508</v>
      </c>
      <c r="D59" s="104">
        <v>106</v>
      </c>
      <c r="E59" s="104">
        <v>93</v>
      </c>
      <c r="F59" s="106">
        <v>80</v>
      </c>
      <c r="G59" s="104" t="s">
        <v>4</v>
      </c>
      <c r="H59" s="104" t="s">
        <v>1704</v>
      </c>
      <c r="I59" s="104">
        <f t="shared" si="2"/>
        <v>42</v>
      </c>
      <c r="J59" s="106" t="s">
        <v>1637</v>
      </c>
      <c r="K59" s="104" t="s">
        <v>885</v>
      </c>
      <c r="L59" s="106" t="s">
        <v>885</v>
      </c>
      <c r="N59" s="105">
        <f t="shared" si="1"/>
        <v>279</v>
      </c>
    </row>
    <row r="60" spans="1:14" ht="11.25">
      <c r="A60" s="10" t="s">
        <v>1588</v>
      </c>
      <c r="B60" s="129">
        <v>13000</v>
      </c>
      <c r="C60" s="13" t="s">
        <v>1508</v>
      </c>
      <c r="D60" s="130">
        <v>118</v>
      </c>
      <c r="E60" s="130">
        <v>110</v>
      </c>
      <c r="F60" s="129">
        <v>74</v>
      </c>
      <c r="G60" s="130" t="s">
        <v>704</v>
      </c>
      <c r="H60" s="157" t="s">
        <v>1703</v>
      </c>
      <c r="I60" s="130">
        <f t="shared" si="2"/>
        <v>46</v>
      </c>
      <c r="J60" s="156" t="s">
        <v>861</v>
      </c>
      <c r="K60" s="138" t="s">
        <v>1589</v>
      </c>
      <c r="L60" s="143" t="s">
        <v>1625</v>
      </c>
      <c r="N60" s="105">
        <f t="shared" si="1"/>
        <v>302</v>
      </c>
    </row>
    <row r="61" spans="1:14" ht="11.25">
      <c r="A61" s="9" t="s">
        <v>1664</v>
      </c>
      <c r="B61" s="106">
        <v>12000</v>
      </c>
      <c r="C61" s="12" t="s">
        <v>1659</v>
      </c>
      <c r="D61" s="104">
        <v>86</v>
      </c>
      <c r="E61" s="104">
        <v>78</v>
      </c>
      <c r="F61" s="106">
        <v>106</v>
      </c>
      <c r="G61" s="104" t="s">
        <v>706</v>
      </c>
      <c r="H61" s="104" t="s">
        <v>1660</v>
      </c>
      <c r="I61" s="104">
        <f t="shared" si="2"/>
        <v>44</v>
      </c>
      <c r="J61" s="106" t="s">
        <v>1651</v>
      </c>
      <c r="K61" s="104" t="s">
        <v>885</v>
      </c>
      <c r="L61" s="106" t="s">
        <v>885</v>
      </c>
      <c r="N61" s="105">
        <f t="shared" si="1"/>
        <v>270</v>
      </c>
    </row>
    <row r="62" spans="1:14" ht="11.25">
      <c r="A62" s="9" t="s">
        <v>1663</v>
      </c>
      <c r="B62" s="106">
        <v>13000</v>
      </c>
      <c r="C62" s="12" t="s">
        <v>1659</v>
      </c>
      <c r="D62" s="104">
        <v>103</v>
      </c>
      <c r="E62" s="104">
        <v>99</v>
      </c>
      <c r="F62" s="106">
        <v>85</v>
      </c>
      <c r="G62" s="104" t="s">
        <v>704</v>
      </c>
      <c r="H62" s="104" t="s">
        <v>1661</v>
      </c>
      <c r="I62" s="104">
        <f t="shared" si="2"/>
        <v>46</v>
      </c>
      <c r="J62" s="106" t="s">
        <v>1626</v>
      </c>
      <c r="K62" s="104"/>
      <c r="L62" s="106" t="s">
        <v>1633</v>
      </c>
      <c r="N62" s="105">
        <f t="shared" si="1"/>
        <v>287</v>
      </c>
    </row>
    <row r="63" spans="1:14" ht="11.25">
      <c r="A63" s="10" t="s">
        <v>1652</v>
      </c>
      <c r="B63" s="137">
        <v>14000</v>
      </c>
      <c r="C63" s="13" t="s">
        <v>1659</v>
      </c>
      <c r="D63" s="145">
        <v>114</v>
      </c>
      <c r="E63" s="145">
        <v>92</v>
      </c>
      <c r="F63" s="144">
        <v>93</v>
      </c>
      <c r="G63" s="145" t="s">
        <v>703</v>
      </c>
      <c r="H63" s="151" t="s">
        <v>1662</v>
      </c>
      <c r="I63" s="138">
        <f t="shared" si="2"/>
        <v>48</v>
      </c>
      <c r="J63" s="150" t="s">
        <v>1632</v>
      </c>
      <c r="K63" s="149" t="s">
        <v>827</v>
      </c>
      <c r="L63" s="148" t="s">
        <v>874</v>
      </c>
      <c r="N63" s="105">
        <f t="shared" si="1"/>
        <v>299</v>
      </c>
    </row>
    <row r="64" spans="1:14" ht="11.25">
      <c r="A64" s="9"/>
      <c r="B64" s="106"/>
      <c r="C64" s="12"/>
      <c r="D64" s="104">
        <v>94</v>
      </c>
      <c r="E64" s="104">
        <v>102</v>
      </c>
      <c r="F64" s="106">
        <v>75</v>
      </c>
      <c r="G64" s="104" t="s">
        <v>4</v>
      </c>
      <c r="H64" s="104"/>
      <c r="I64" s="104"/>
      <c r="J64" s="106"/>
      <c r="K64" s="104" t="s">
        <v>885</v>
      </c>
      <c r="L64" s="106" t="s">
        <v>885</v>
      </c>
      <c r="N64" s="105">
        <f t="shared" si="1"/>
        <v>271</v>
      </c>
    </row>
    <row r="65" spans="1:14" ht="11.25">
      <c r="A65" s="9"/>
      <c r="B65" s="106"/>
      <c r="C65" s="12"/>
      <c r="D65" s="104">
        <v>95</v>
      </c>
      <c r="E65" s="104">
        <v>70</v>
      </c>
      <c r="F65" s="106">
        <v>109</v>
      </c>
      <c r="G65" s="104" t="s">
        <v>705</v>
      </c>
      <c r="H65" s="104"/>
      <c r="I65" s="104"/>
      <c r="J65" s="106" t="s">
        <v>863</v>
      </c>
      <c r="K65" s="104" t="s">
        <v>885</v>
      </c>
      <c r="L65" s="106" t="s">
        <v>885</v>
      </c>
      <c r="N65" s="105">
        <f t="shared" si="1"/>
        <v>274</v>
      </c>
    </row>
    <row r="66" spans="1:14" ht="11.25">
      <c r="A66" s="10"/>
      <c r="B66" s="137"/>
      <c r="C66" s="13"/>
      <c r="D66" s="145">
        <v>108</v>
      </c>
      <c r="E66" s="145">
        <v>99</v>
      </c>
      <c r="F66" s="144">
        <v>94</v>
      </c>
      <c r="G66" s="138" t="s">
        <v>98</v>
      </c>
      <c r="H66" s="138"/>
      <c r="I66" s="138"/>
      <c r="J66" s="144" t="s">
        <v>860</v>
      </c>
      <c r="K66" s="138"/>
      <c r="L66" s="144" t="s">
        <v>1634</v>
      </c>
      <c r="N66" s="105">
        <f t="shared" si="1"/>
        <v>301</v>
      </c>
    </row>
    <row r="67" spans="1:14" ht="11.25">
      <c r="A67" s="9" t="s">
        <v>937</v>
      </c>
      <c r="B67" s="15">
        <v>6000</v>
      </c>
      <c r="C67" s="41" t="s">
        <v>708</v>
      </c>
      <c r="D67" s="2">
        <v>57</v>
      </c>
      <c r="E67" s="2">
        <v>99</v>
      </c>
      <c r="F67" s="15">
        <v>30</v>
      </c>
      <c r="G67" s="2" t="s">
        <v>704</v>
      </c>
      <c r="H67" s="105" t="s">
        <v>812</v>
      </c>
      <c r="I67" s="2">
        <f t="shared" si="2"/>
        <v>32</v>
      </c>
      <c r="J67" s="106" t="s">
        <v>845</v>
      </c>
      <c r="K67" s="2" t="s">
        <v>829</v>
      </c>
      <c r="L67" s="15" t="s">
        <v>879</v>
      </c>
      <c r="N67" s="105">
        <f aca="true" t="shared" si="3" ref="N67:N130">D67+E67+F67</f>
        <v>186</v>
      </c>
    </row>
    <row r="68" spans="1:14" ht="11.25">
      <c r="A68" s="9" t="s">
        <v>1166</v>
      </c>
      <c r="B68" s="15">
        <v>6000</v>
      </c>
      <c r="C68" s="41" t="s">
        <v>709</v>
      </c>
      <c r="D68" s="2">
        <v>57</v>
      </c>
      <c r="E68" s="2">
        <v>46</v>
      </c>
      <c r="F68" s="15">
        <v>78</v>
      </c>
      <c r="G68" s="2" t="s">
        <v>705</v>
      </c>
      <c r="H68" s="105" t="s">
        <v>1165</v>
      </c>
      <c r="I68" s="2">
        <f t="shared" si="2"/>
        <v>32</v>
      </c>
      <c r="J68" s="106" t="s">
        <v>955</v>
      </c>
      <c r="K68" s="2" t="s">
        <v>885</v>
      </c>
      <c r="L68" s="106" t="s">
        <v>885</v>
      </c>
      <c r="N68" s="105">
        <f t="shared" si="3"/>
        <v>181</v>
      </c>
    </row>
    <row r="69" spans="1:14" ht="11.25">
      <c r="A69" s="9" t="s">
        <v>367</v>
      </c>
      <c r="B69" s="15">
        <v>8000</v>
      </c>
      <c r="C69" s="41" t="s">
        <v>710</v>
      </c>
      <c r="D69" s="2">
        <v>78</v>
      </c>
      <c r="E69" s="2">
        <v>85</v>
      </c>
      <c r="F69" s="15">
        <v>58</v>
      </c>
      <c r="G69" s="2" t="s">
        <v>704</v>
      </c>
      <c r="H69" s="105" t="s">
        <v>813</v>
      </c>
      <c r="I69" s="2">
        <f t="shared" si="2"/>
        <v>36</v>
      </c>
      <c r="J69" s="106" t="s">
        <v>852</v>
      </c>
      <c r="K69" s="105" t="s">
        <v>880</v>
      </c>
      <c r="L69" s="15" t="s">
        <v>881</v>
      </c>
      <c r="N69" s="105">
        <f t="shared" si="3"/>
        <v>221</v>
      </c>
    </row>
    <row r="70" spans="1:14" ht="11.25">
      <c r="A70" s="9" t="s">
        <v>1513</v>
      </c>
      <c r="B70" s="15">
        <v>3000</v>
      </c>
      <c r="C70" s="41" t="s">
        <v>711</v>
      </c>
      <c r="D70" s="2">
        <v>45</v>
      </c>
      <c r="E70" s="2">
        <v>30</v>
      </c>
      <c r="F70" s="15">
        <v>82</v>
      </c>
      <c r="G70" s="2" t="s">
        <v>705</v>
      </c>
      <c r="H70" s="105" t="s">
        <v>819</v>
      </c>
      <c r="I70" s="2">
        <f t="shared" si="2"/>
        <v>26</v>
      </c>
      <c r="J70" s="106" t="s">
        <v>862</v>
      </c>
      <c r="K70" s="2" t="s">
        <v>885</v>
      </c>
      <c r="L70" s="106" t="s">
        <v>885</v>
      </c>
      <c r="N70" s="105">
        <f t="shared" si="3"/>
        <v>157</v>
      </c>
    </row>
    <row r="71" spans="1:14" ht="11.25">
      <c r="A71" s="9" t="s">
        <v>1373</v>
      </c>
      <c r="B71" s="15">
        <v>3000</v>
      </c>
      <c r="C71" s="41" t="s">
        <v>712</v>
      </c>
      <c r="D71" s="2">
        <v>53</v>
      </c>
      <c r="E71" s="2">
        <v>30</v>
      </c>
      <c r="F71" s="15">
        <v>75</v>
      </c>
      <c r="G71" s="2" t="s">
        <v>705</v>
      </c>
      <c r="H71" s="105" t="s">
        <v>809</v>
      </c>
      <c r="I71" s="2">
        <f t="shared" si="2"/>
        <v>26</v>
      </c>
      <c r="J71" s="106" t="s">
        <v>864</v>
      </c>
      <c r="K71" s="2" t="s">
        <v>885</v>
      </c>
      <c r="L71" s="106" t="s">
        <v>885</v>
      </c>
      <c r="N71" s="105">
        <f t="shared" si="3"/>
        <v>158</v>
      </c>
    </row>
    <row r="72" spans="1:14" ht="11.25">
      <c r="A72" s="32" t="s">
        <v>1374</v>
      </c>
      <c r="B72" s="15">
        <v>4000</v>
      </c>
      <c r="C72" s="41" t="s">
        <v>713</v>
      </c>
      <c r="D72" s="2">
        <v>63</v>
      </c>
      <c r="E72" s="2">
        <v>78</v>
      </c>
      <c r="F72" s="15">
        <v>27</v>
      </c>
      <c r="G72" s="2" t="s">
        <v>703</v>
      </c>
      <c r="H72" s="105" t="s">
        <v>810</v>
      </c>
      <c r="I72" s="2">
        <f t="shared" si="2"/>
        <v>28</v>
      </c>
      <c r="J72" s="106" t="s">
        <v>861</v>
      </c>
      <c r="K72" s="105" t="s">
        <v>825</v>
      </c>
      <c r="L72" s="15" t="s">
        <v>875</v>
      </c>
      <c r="N72" s="105">
        <f t="shared" si="3"/>
        <v>168</v>
      </c>
    </row>
    <row r="73" spans="1:14" ht="11.25">
      <c r="A73" s="9" t="s">
        <v>1512</v>
      </c>
      <c r="B73" s="15">
        <v>4000</v>
      </c>
      <c r="C73" s="41" t="s">
        <v>714</v>
      </c>
      <c r="D73" s="2">
        <v>55</v>
      </c>
      <c r="E73" s="2">
        <v>55</v>
      </c>
      <c r="F73" s="15">
        <v>63</v>
      </c>
      <c r="G73" s="2" t="s">
        <v>100</v>
      </c>
      <c r="H73" s="105" t="s">
        <v>1237</v>
      </c>
      <c r="I73" s="2">
        <f t="shared" si="2"/>
        <v>28</v>
      </c>
      <c r="J73" s="106" t="s">
        <v>850</v>
      </c>
      <c r="K73" s="2" t="s">
        <v>885</v>
      </c>
      <c r="L73" s="106" t="s">
        <v>885</v>
      </c>
      <c r="N73" s="105">
        <f t="shared" si="3"/>
        <v>173</v>
      </c>
    </row>
    <row r="74" spans="1:14" ht="11.25">
      <c r="A74" s="9" t="s">
        <v>368</v>
      </c>
      <c r="B74" s="15">
        <v>4000</v>
      </c>
      <c r="C74" s="41" t="s">
        <v>715</v>
      </c>
      <c r="D74" s="2">
        <v>48</v>
      </c>
      <c r="E74" s="2">
        <v>54</v>
      </c>
      <c r="F74" s="15">
        <v>72</v>
      </c>
      <c r="G74" s="2" t="s">
        <v>703</v>
      </c>
      <c r="H74" s="105" t="s">
        <v>935</v>
      </c>
      <c r="I74" s="2">
        <f t="shared" si="2"/>
        <v>28</v>
      </c>
      <c r="J74" s="106" t="s">
        <v>849</v>
      </c>
      <c r="K74" s="105" t="s">
        <v>831</v>
      </c>
      <c r="L74" s="15" t="s">
        <v>876</v>
      </c>
      <c r="N74" s="105">
        <f t="shared" si="3"/>
        <v>174</v>
      </c>
    </row>
    <row r="75" spans="1:14" ht="11.25">
      <c r="A75" s="9" t="s">
        <v>1514</v>
      </c>
      <c r="B75" s="15">
        <v>5000</v>
      </c>
      <c r="C75" s="41" t="s">
        <v>716</v>
      </c>
      <c r="D75" s="2">
        <v>47</v>
      </c>
      <c r="E75" s="2">
        <v>39</v>
      </c>
      <c r="F75" s="15">
        <v>87</v>
      </c>
      <c r="G75" s="2" t="s">
        <v>703</v>
      </c>
      <c r="H75" s="105" t="s">
        <v>981</v>
      </c>
      <c r="I75" s="2">
        <f t="shared" si="2"/>
        <v>30</v>
      </c>
      <c r="J75" s="106" t="s">
        <v>847</v>
      </c>
      <c r="K75" s="105" t="s">
        <v>898</v>
      </c>
      <c r="L75" s="15" t="s">
        <v>899</v>
      </c>
      <c r="N75" s="105">
        <f t="shared" si="3"/>
        <v>173</v>
      </c>
    </row>
    <row r="76" spans="1:14" ht="11.25">
      <c r="A76" s="9" t="s">
        <v>1385</v>
      </c>
      <c r="B76" s="15">
        <v>6000</v>
      </c>
      <c r="C76" s="41" t="s">
        <v>717</v>
      </c>
      <c r="D76" s="2">
        <v>63</v>
      </c>
      <c r="E76" s="2">
        <v>41</v>
      </c>
      <c r="F76" s="15">
        <v>83</v>
      </c>
      <c r="G76" s="2" t="s">
        <v>705</v>
      </c>
      <c r="H76" s="105" t="s">
        <v>1072</v>
      </c>
      <c r="I76" s="2">
        <f t="shared" si="2"/>
        <v>32</v>
      </c>
      <c r="J76" s="106" t="s">
        <v>855</v>
      </c>
      <c r="K76" s="2" t="s">
        <v>885</v>
      </c>
      <c r="L76" s="106" t="s">
        <v>885</v>
      </c>
      <c r="N76" s="105">
        <f t="shared" si="3"/>
        <v>187</v>
      </c>
    </row>
    <row r="77" spans="1:14" ht="11.25">
      <c r="A77" s="9" t="s">
        <v>1517</v>
      </c>
      <c r="B77" s="15">
        <v>6000</v>
      </c>
      <c r="C77" s="41" t="s">
        <v>718</v>
      </c>
      <c r="D77" s="2">
        <v>78</v>
      </c>
      <c r="E77" s="2">
        <v>47</v>
      </c>
      <c r="F77" s="15">
        <v>62</v>
      </c>
      <c r="G77" s="2" t="s">
        <v>4</v>
      </c>
      <c r="H77" s="105" t="s">
        <v>1082</v>
      </c>
      <c r="I77" s="2">
        <f t="shared" si="2"/>
        <v>32</v>
      </c>
      <c r="J77" s="106" t="s">
        <v>867</v>
      </c>
      <c r="K77" s="2" t="s">
        <v>885</v>
      </c>
      <c r="L77" s="106" t="s">
        <v>885</v>
      </c>
      <c r="N77" s="105">
        <f t="shared" si="3"/>
        <v>187</v>
      </c>
    </row>
    <row r="78" spans="1:14" ht="11.25">
      <c r="A78" s="32" t="s">
        <v>304</v>
      </c>
      <c r="B78" s="15">
        <v>6000</v>
      </c>
      <c r="C78" s="41" t="s">
        <v>719</v>
      </c>
      <c r="D78" s="2">
        <v>63</v>
      </c>
      <c r="E78" s="2">
        <v>82</v>
      </c>
      <c r="F78" s="15">
        <v>47</v>
      </c>
      <c r="G78" s="2" t="s">
        <v>98</v>
      </c>
      <c r="H78" s="105" t="s">
        <v>1238</v>
      </c>
      <c r="I78" s="2">
        <f t="shared" si="2"/>
        <v>32</v>
      </c>
      <c r="J78" s="106" t="s">
        <v>845</v>
      </c>
      <c r="K78" s="105" t="s">
        <v>830</v>
      </c>
      <c r="L78" s="15" t="s">
        <v>878</v>
      </c>
      <c r="N78" s="105">
        <f t="shared" si="3"/>
        <v>192</v>
      </c>
    </row>
    <row r="79" spans="1:14" ht="11.25">
      <c r="A79" s="9" t="s">
        <v>1384</v>
      </c>
      <c r="B79" s="15">
        <v>7000</v>
      </c>
      <c r="C79" s="41" t="s">
        <v>720</v>
      </c>
      <c r="D79" s="2">
        <v>63</v>
      </c>
      <c r="E79" s="2">
        <v>45</v>
      </c>
      <c r="F79" s="15">
        <v>87</v>
      </c>
      <c r="G79" s="2" t="s">
        <v>100</v>
      </c>
      <c r="H79" s="2" t="s">
        <v>918</v>
      </c>
      <c r="I79" s="2">
        <f t="shared" si="2"/>
        <v>34</v>
      </c>
      <c r="J79" s="15" t="s">
        <v>851</v>
      </c>
      <c r="K79" s="2" t="s">
        <v>885</v>
      </c>
      <c r="L79" s="106" t="s">
        <v>885</v>
      </c>
      <c r="N79" s="105">
        <f t="shared" si="3"/>
        <v>195</v>
      </c>
    </row>
    <row r="80" spans="1:14" ht="11.25">
      <c r="A80" s="9" t="s">
        <v>369</v>
      </c>
      <c r="B80" s="15">
        <v>7000</v>
      </c>
      <c r="C80" s="41" t="s">
        <v>721</v>
      </c>
      <c r="D80" s="2">
        <v>78</v>
      </c>
      <c r="E80" s="2">
        <v>91</v>
      </c>
      <c r="F80" s="15">
        <v>30</v>
      </c>
      <c r="G80" s="2" t="s">
        <v>704</v>
      </c>
      <c r="H80" s="105" t="s">
        <v>980</v>
      </c>
      <c r="I80" s="2">
        <f t="shared" si="2"/>
        <v>34</v>
      </c>
      <c r="J80" s="106" t="s">
        <v>860</v>
      </c>
      <c r="K80" s="105" t="s">
        <v>894</v>
      </c>
      <c r="L80" s="15" t="s">
        <v>895</v>
      </c>
      <c r="N80" s="105">
        <f t="shared" si="3"/>
        <v>199</v>
      </c>
    </row>
    <row r="81" spans="1:14" ht="11.25">
      <c r="A81" s="9" t="s">
        <v>370</v>
      </c>
      <c r="B81" s="15">
        <v>8000</v>
      </c>
      <c r="C81" s="41" t="s">
        <v>722</v>
      </c>
      <c r="D81" s="2">
        <v>74</v>
      </c>
      <c r="E81" s="2">
        <v>85</v>
      </c>
      <c r="F81" s="15">
        <v>42</v>
      </c>
      <c r="G81" s="2" t="s">
        <v>704</v>
      </c>
      <c r="H81" s="105" t="s">
        <v>1191</v>
      </c>
      <c r="I81" s="2">
        <f t="shared" si="2"/>
        <v>36</v>
      </c>
      <c r="J81" s="106" t="s">
        <v>861</v>
      </c>
      <c r="K81" s="105" t="s">
        <v>880</v>
      </c>
      <c r="L81" s="15" t="s">
        <v>881</v>
      </c>
      <c r="N81" s="105">
        <f t="shared" si="3"/>
        <v>201</v>
      </c>
    </row>
    <row r="82" spans="1:14" ht="11.25">
      <c r="A82" s="32" t="s">
        <v>887</v>
      </c>
      <c r="B82" s="15">
        <v>8000</v>
      </c>
      <c r="C82" s="41" t="s">
        <v>723</v>
      </c>
      <c r="D82" s="2">
        <v>70</v>
      </c>
      <c r="E82" s="2">
        <v>99</v>
      </c>
      <c r="F82" s="15">
        <v>36</v>
      </c>
      <c r="G82" s="2" t="s">
        <v>98</v>
      </c>
      <c r="H82" s="2" t="s">
        <v>1167</v>
      </c>
      <c r="I82" s="2">
        <f t="shared" si="2"/>
        <v>36</v>
      </c>
      <c r="J82" s="106" t="s">
        <v>844</v>
      </c>
      <c r="K82" s="105" t="s">
        <v>828</v>
      </c>
      <c r="L82" s="15" t="s">
        <v>886</v>
      </c>
      <c r="N82" s="105">
        <f t="shared" si="3"/>
        <v>205</v>
      </c>
    </row>
    <row r="83" spans="1:14" ht="11.25">
      <c r="A83" s="32" t="s">
        <v>1388</v>
      </c>
      <c r="B83" s="15">
        <v>8000</v>
      </c>
      <c r="C83" s="41" t="s">
        <v>724</v>
      </c>
      <c r="D83" s="2">
        <v>73</v>
      </c>
      <c r="E83" s="2">
        <v>88</v>
      </c>
      <c r="F83" s="15">
        <v>44</v>
      </c>
      <c r="G83" s="2" t="s">
        <v>4</v>
      </c>
      <c r="H83" s="2" t="s">
        <v>1163</v>
      </c>
      <c r="I83" s="2">
        <f t="shared" si="2"/>
        <v>36</v>
      </c>
      <c r="J83" s="15" t="s">
        <v>1164</v>
      </c>
      <c r="K83" s="2" t="s">
        <v>885</v>
      </c>
      <c r="L83" s="106" t="s">
        <v>885</v>
      </c>
      <c r="N83" s="105">
        <f t="shared" si="3"/>
        <v>205</v>
      </c>
    </row>
    <row r="84" spans="1:14" ht="11.25">
      <c r="A84" s="9" t="s">
        <v>371</v>
      </c>
      <c r="B84" s="15">
        <v>8000</v>
      </c>
      <c r="C84" s="41" t="s">
        <v>725</v>
      </c>
      <c r="D84" s="2">
        <v>79</v>
      </c>
      <c r="E84" s="2">
        <v>79</v>
      </c>
      <c r="F84" s="15">
        <v>50</v>
      </c>
      <c r="G84" s="2" t="s">
        <v>703</v>
      </c>
      <c r="H84" s="105" t="s">
        <v>1226</v>
      </c>
      <c r="I84" s="2">
        <f t="shared" si="2"/>
        <v>36</v>
      </c>
      <c r="J84" s="106" t="s">
        <v>863</v>
      </c>
      <c r="K84" s="105" t="s">
        <v>826</v>
      </c>
      <c r="L84" s="15" t="s">
        <v>877</v>
      </c>
      <c r="N84" s="105">
        <f t="shared" si="3"/>
        <v>208</v>
      </c>
    </row>
    <row r="85" spans="1:14" ht="11.25">
      <c r="A85" s="9" t="s">
        <v>1389</v>
      </c>
      <c r="B85" s="15">
        <v>8000</v>
      </c>
      <c r="C85" s="41" t="s">
        <v>726</v>
      </c>
      <c r="D85" s="7">
        <v>62</v>
      </c>
      <c r="E85" s="7">
        <v>68</v>
      </c>
      <c r="F85" s="15">
        <v>97</v>
      </c>
      <c r="G85" s="7" t="s">
        <v>99</v>
      </c>
      <c r="H85" s="7" t="s">
        <v>1071</v>
      </c>
      <c r="I85" s="2">
        <f t="shared" si="2"/>
        <v>36</v>
      </c>
      <c r="J85" s="106" t="s">
        <v>857</v>
      </c>
      <c r="K85" s="7" t="s">
        <v>885</v>
      </c>
      <c r="L85" s="106" t="s">
        <v>885</v>
      </c>
      <c r="N85" s="105">
        <f t="shared" si="3"/>
        <v>227</v>
      </c>
    </row>
    <row r="86" spans="1:14" ht="11.25">
      <c r="A86" s="32" t="s">
        <v>372</v>
      </c>
      <c r="B86" s="15">
        <v>8000</v>
      </c>
      <c r="C86" s="41" t="s">
        <v>727</v>
      </c>
      <c r="D86" s="7">
        <v>88</v>
      </c>
      <c r="E86" s="7">
        <v>82</v>
      </c>
      <c r="F86" s="15">
        <v>53</v>
      </c>
      <c r="G86" s="7" t="s">
        <v>4</v>
      </c>
      <c r="H86" s="104" t="s">
        <v>1273</v>
      </c>
      <c r="I86" s="2">
        <f t="shared" si="2"/>
        <v>36</v>
      </c>
      <c r="J86" s="106" t="s">
        <v>869</v>
      </c>
      <c r="K86" s="7" t="s">
        <v>885</v>
      </c>
      <c r="L86" s="106" t="s">
        <v>885</v>
      </c>
      <c r="N86" s="105">
        <f t="shared" si="3"/>
        <v>223</v>
      </c>
    </row>
    <row r="87" spans="1:14" ht="11.25">
      <c r="A87" s="9" t="s">
        <v>1415</v>
      </c>
      <c r="B87" s="15">
        <v>9000</v>
      </c>
      <c r="C87" s="41" t="s">
        <v>728</v>
      </c>
      <c r="D87" s="7">
        <v>83</v>
      </c>
      <c r="E87" s="7">
        <v>94</v>
      </c>
      <c r="F87" s="15">
        <v>50</v>
      </c>
      <c r="G87" s="7" t="s">
        <v>704</v>
      </c>
      <c r="H87" s="104" t="s">
        <v>807</v>
      </c>
      <c r="I87" s="2">
        <f t="shared" si="2"/>
        <v>38</v>
      </c>
      <c r="J87" s="106" t="s">
        <v>846</v>
      </c>
      <c r="K87" s="104" t="s">
        <v>829</v>
      </c>
      <c r="L87" s="15" t="s">
        <v>879</v>
      </c>
      <c r="N87" s="105">
        <f t="shared" si="3"/>
        <v>227</v>
      </c>
    </row>
    <row r="88" spans="1:14" ht="11.25">
      <c r="A88" s="32" t="s">
        <v>1416</v>
      </c>
      <c r="B88" s="15">
        <v>9000</v>
      </c>
      <c r="C88" s="41" t="s">
        <v>729</v>
      </c>
      <c r="D88" s="7">
        <v>77</v>
      </c>
      <c r="E88" s="7">
        <v>43</v>
      </c>
      <c r="F88" s="15">
        <v>108</v>
      </c>
      <c r="G88" s="7" t="s">
        <v>705</v>
      </c>
      <c r="H88" s="104" t="s">
        <v>871</v>
      </c>
      <c r="I88" s="2">
        <f t="shared" si="2"/>
        <v>38</v>
      </c>
      <c r="J88" s="106" t="s">
        <v>853</v>
      </c>
      <c r="K88" s="7" t="s">
        <v>885</v>
      </c>
      <c r="L88" s="106" t="s">
        <v>885</v>
      </c>
      <c r="N88" s="105">
        <f t="shared" si="3"/>
        <v>228</v>
      </c>
    </row>
    <row r="89" spans="1:14" ht="11.25">
      <c r="A89" s="63" t="s">
        <v>1425</v>
      </c>
      <c r="B89" s="15">
        <v>9000</v>
      </c>
      <c r="C89" s="41" t="s">
        <v>730</v>
      </c>
      <c r="D89" s="7">
        <v>73</v>
      </c>
      <c r="E89" s="7">
        <v>97</v>
      </c>
      <c r="F89" s="15">
        <v>68</v>
      </c>
      <c r="G89" s="7" t="s">
        <v>704</v>
      </c>
      <c r="H89" s="104" t="s">
        <v>1044</v>
      </c>
      <c r="I89" s="2">
        <f t="shared" si="2"/>
        <v>38</v>
      </c>
      <c r="J89" s="106" t="s">
        <v>845</v>
      </c>
      <c r="K89" s="104" t="s">
        <v>880</v>
      </c>
      <c r="L89" s="15" t="s">
        <v>881</v>
      </c>
      <c r="N89" s="105">
        <f t="shared" si="3"/>
        <v>238</v>
      </c>
    </row>
    <row r="90" spans="1:14" ht="11.25">
      <c r="A90" s="9" t="s">
        <v>373</v>
      </c>
      <c r="B90" s="15">
        <v>9000</v>
      </c>
      <c r="C90" s="41" t="s">
        <v>731</v>
      </c>
      <c r="D90" s="7">
        <v>78</v>
      </c>
      <c r="E90" s="7">
        <v>112</v>
      </c>
      <c r="F90" s="15">
        <v>48</v>
      </c>
      <c r="G90" s="7" t="s">
        <v>704</v>
      </c>
      <c r="H90" s="104" t="s">
        <v>823</v>
      </c>
      <c r="I90" s="2">
        <f t="shared" si="2"/>
        <v>38</v>
      </c>
      <c r="J90" s="106" t="s">
        <v>844</v>
      </c>
      <c r="K90" s="104" t="s">
        <v>834</v>
      </c>
      <c r="L90" s="15" t="s">
        <v>889</v>
      </c>
      <c r="N90" s="105">
        <f t="shared" si="3"/>
        <v>238</v>
      </c>
    </row>
    <row r="91" spans="1:14" ht="11.25">
      <c r="A91" s="9" t="s">
        <v>1426</v>
      </c>
      <c r="B91" s="15">
        <v>9000</v>
      </c>
      <c r="C91" s="41" t="s">
        <v>732</v>
      </c>
      <c r="D91" s="7">
        <v>95</v>
      </c>
      <c r="E91" s="7">
        <v>74</v>
      </c>
      <c r="F91" s="15">
        <v>88</v>
      </c>
      <c r="G91" s="7" t="s">
        <v>4</v>
      </c>
      <c r="H91" s="104" t="s">
        <v>822</v>
      </c>
      <c r="I91" s="2">
        <f t="shared" si="2"/>
        <v>38</v>
      </c>
      <c r="J91" s="106" t="s">
        <v>858</v>
      </c>
      <c r="K91" s="7" t="s">
        <v>885</v>
      </c>
      <c r="L91" s="106" t="s">
        <v>885</v>
      </c>
      <c r="N91" s="105">
        <f t="shared" si="3"/>
        <v>257</v>
      </c>
    </row>
    <row r="92" spans="1:14" ht="11.25">
      <c r="A92" s="32" t="s">
        <v>1427</v>
      </c>
      <c r="B92" s="15">
        <v>10000</v>
      </c>
      <c r="C92" s="41" t="s">
        <v>733</v>
      </c>
      <c r="D92" s="7">
        <v>82</v>
      </c>
      <c r="E92" s="7">
        <v>113</v>
      </c>
      <c r="F92" s="15">
        <v>28</v>
      </c>
      <c r="G92" s="7" t="s">
        <v>703</v>
      </c>
      <c r="H92" s="104" t="s">
        <v>798</v>
      </c>
      <c r="I92" s="2">
        <f t="shared" si="2"/>
        <v>40</v>
      </c>
      <c r="J92" s="106" t="s">
        <v>844</v>
      </c>
      <c r="K92" s="104" t="s">
        <v>892</v>
      </c>
      <c r="L92" s="15" t="s">
        <v>893</v>
      </c>
      <c r="N92" s="105">
        <f t="shared" si="3"/>
        <v>223</v>
      </c>
    </row>
    <row r="93" spans="1:14" ht="11.25">
      <c r="A93" s="9" t="s">
        <v>1465</v>
      </c>
      <c r="B93" s="15">
        <v>10000</v>
      </c>
      <c r="C93" s="41" t="s">
        <v>734</v>
      </c>
      <c r="D93" s="7">
        <v>92</v>
      </c>
      <c r="E93" s="7">
        <v>93</v>
      </c>
      <c r="F93" s="15">
        <v>76</v>
      </c>
      <c r="G93" s="7" t="s">
        <v>703</v>
      </c>
      <c r="H93" s="104" t="s">
        <v>1317</v>
      </c>
      <c r="I93" s="2">
        <f aca="true" t="shared" si="4" ref="I93:I156">20+(B93/1000)*2</f>
        <v>40</v>
      </c>
      <c r="J93" s="106" t="s">
        <v>852</v>
      </c>
      <c r="K93" s="7" t="s">
        <v>824</v>
      </c>
      <c r="L93" s="15" t="s">
        <v>882</v>
      </c>
      <c r="N93" s="105">
        <f t="shared" si="3"/>
        <v>261</v>
      </c>
    </row>
    <row r="94" spans="1:14" ht="11.25">
      <c r="A94" s="32" t="s">
        <v>1428</v>
      </c>
      <c r="B94" s="15">
        <v>10000</v>
      </c>
      <c r="C94" s="41" t="s">
        <v>735</v>
      </c>
      <c r="D94" s="7">
        <v>99</v>
      </c>
      <c r="E94" s="7">
        <v>104</v>
      </c>
      <c r="F94" s="15">
        <v>65</v>
      </c>
      <c r="G94" s="7" t="s">
        <v>98</v>
      </c>
      <c r="H94" s="104" t="s">
        <v>913</v>
      </c>
      <c r="I94" s="2">
        <f t="shared" si="4"/>
        <v>40</v>
      </c>
      <c r="J94" s="106" t="s">
        <v>852</v>
      </c>
      <c r="K94" s="7" t="s">
        <v>883</v>
      </c>
      <c r="L94" s="15" t="s">
        <v>884</v>
      </c>
      <c r="N94" s="105">
        <f t="shared" si="3"/>
        <v>268</v>
      </c>
    </row>
    <row r="95" spans="1:14" ht="11.25">
      <c r="A95" s="9" t="s">
        <v>1430</v>
      </c>
      <c r="B95" s="15">
        <v>10000</v>
      </c>
      <c r="C95" s="41" t="s">
        <v>736</v>
      </c>
      <c r="D95" s="7">
        <v>95</v>
      </c>
      <c r="E95" s="7">
        <v>100</v>
      </c>
      <c r="F95" s="15">
        <v>80</v>
      </c>
      <c r="G95" s="7" t="s">
        <v>703</v>
      </c>
      <c r="H95" s="104" t="s">
        <v>806</v>
      </c>
      <c r="I95" s="2">
        <f t="shared" si="4"/>
        <v>40</v>
      </c>
      <c r="J95" s="106" t="s">
        <v>846</v>
      </c>
      <c r="K95" s="7" t="s">
        <v>901</v>
      </c>
      <c r="L95" s="15" t="s">
        <v>900</v>
      </c>
      <c r="N95" s="105">
        <f t="shared" si="3"/>
        <v>275</v>
      </c>
    </row>
    <row r="96" spans="1:14" ht="11.25">
      <c r="A96" s="33" t="s">
        <v>1466</v>
      </c>
      <c r="B96" s="16">
        <v>10000</v>
      </c>
      <c r="C96" s="42" t="s">
        <v>737</v>
      </c>
      <c r="D96" s="6">
        <v>97</v>
      </c>
      <c r="E96" s="6">
        <v>53</v>
      </c>
      <c r="F96" s="16">
        <v>120</v>
      </c>
      <c r="G96" s="6" t="s">
        <v>705</v>
      </c>
      <c r="H96" s="120" t="s">
        <v>919</v>
      </c>
      <c r="I96" s="6">
        <f t="shared" si="4"/>
        <v>40</v>
      </c>
      <c r="J96" s="119" t="s">
        <v>909</v>
      </c>
      <c r="K96" s="6" t="s">
        <v>885</v>
      </c>
      <c r="L96" s="143" t="s">
        <v>885</v>
      </c>
      <c r="N96" s="105">
        <f t="shared" si="3"/>
        <v>270</v>
      </c>
    </row>
    <row r="97" spans="1:14" ht="11.25">
      <c r="A97" s="9" t="s">
        <v>681</v>
      </c>
      <c r="B97" s="15">
        <v>7000</v>
      </c>
      <c r="C97" s="41" t="s">
        <v>738</v>
      </c>
      <c r="D97" s="2">
        <v>37</v>
      </c>
      <c r="E97" s="2">
        <v>92</v>
      </c>
      <c r="F97" s="15">
        <v>59</v>
      </c>
      <c r="G97" s="2" t="s">
        <v>704</v>
      </c>
      <c r="H97" s="2" t="s">
        <v>823</v>
      </c>
      <c r="I97" s="2">
        <f t="shared" si="4"/>
        <v>34</v>
      </c>
      <c r="J97" s="15" t="s">
        <v>844</v>
      </c>
      <c r="K97" s="2" t="s">
        <v>829</v>
      </c>
      <c r="L97" s="15" t="s">
        <v>879</v>
      </c>
      <c r="N97" s="105">
        <f t="shared" si="3"/>
        <v>188</v>
      </c>
    </row>
    <row r="98" spans="1:14" ht="11.25">
      <c r="A98" s="9" t="s">
        <v>318</v>
      </c>
      <c r="B98" s="15">
        <v>5000</v>
      </c>
      <c r="C98" s="41" t="s">
        <v>739</v>
      </c>
      <c r="D98" s="2">
        <v>54</v>
      </c>
      <c r="E98" s="2">
        <v>33</v>
      </c>
      <c r="F98" s="15">
        <v>93</v>
      </c>
      <c r="G98" s="2" t="s">
        <v>705</v>
      </c>
      <c r="H98" s="2" t="s">
        <v>919</v>
      </c>
      <c r="I98" s="2">
        <f t="shared" si="4"/>
        <v>30</v>
      </c>
      <c r="J98" s="15" t="s">
        <v>909</v>
      </c>
      <c r="K98" s="2" t="s">
        <v>885</v>
      </c>
      <c r="L98" s="106" t="s">
        <v>885</v>
      </c>
      <c r="N98" s="105">
        <f t="shared" si="3"/>
        <v>180</v>
      </c>
    </row>
    <row r="99" spans="1:14" ht="11.25">
      <c r="A99" s="32" t="s">
        <v>319</v>
      </c>
      <c r="B99" s="15">
        <v>8000</v>
      </c>
      <c r="C99" s="41" t="s">
        <v>740</v>
      </c>
      <c r="D99" s="2">
        <v>73</v>
      </c>
      <c r="E99" s="2">
        <v>68</v>
      </c>
      <c r="F99" s="15">
        <v>63</v>
      </c>
      <c r="G99" s="2" t="s">
        <v>4</v>
      </c>
      <c r="H99" s="103" t="s">
        <v>1005</v>
      </c>
      <c r="I99" s="2">
        <f t="shared" si="4"/>
        <v>36</v>
      </c>
      <c r="J99" s="15" t="s">
        <v>868</v>
      </c>
      <c r="K99" s="2" t="s">
        <v>885</v>
      </c>
      <c r="L99" s="106" t="s">
        <v>885</v>
      </c>
      <c r="N99" s="105">
        <f t="shared" si="3"/>
        <v>204</v>
      </c>
    </row>
    <row r="100" spans="1:14" ht="11.25">
      <c r="A100" s="9" t="s">
        <v>1004</v>
      </c>
      <c r="B100" s="15">
        <v>3000</v>
      </c>
      <c r="C100" s="41" t="s">
        <v>741</v>
      </c>
      <c r="D100" s="2">
        <v>52</v>
      </c>
      <c r="E100" s="2">
        <v>19</v>
      </c>
      <c r="F100" s="15">
        <v>79</v>
      </c>
      <c r="G100" s="2" t="s">
        <v>703</v>
      </c>
      <c r="H100" s="2" t="s">
        <v>935</v>
      </c>
      <c r="I100" s="2">
        <f t="shared" si="4"/>
        <v>26</v>
      </c>
      <c r="J100" s="15" t="s">
        <v>849</v>
      </c>
      <c r="K100" s="2" t="s">
        <v>827</v>
      </c>
      <c r="L100" s="15" t="s">
        <v>874</v>
      </c>
      <c r="N100" s="105">
        <f t="shared" si="3"/>
        <v>150</v>
      </c>
    </row>
    <row r="101" spans="1:14" ht="11.25">
      <c r="A101" s="9" t="s">
        <v>1229</v>
      </c>
      <c r="B101" s="15">
        <v>3000</v>
      </c>
      <c r="C101" s="41" t="s">
        <v>742</v>
      </c>
      <c r="D101" s="2">
        <v>65</v>
      </c>
      <c r="E101" s="2">
        <v>66</v>
      </c>
      <c r="F101" s="15">
        <v>26</v>
      </c>
      <c r="G101" s="2" t="s">
        <v>98</v>
      </c>
      <c r="H101" s="105" t="s">
        <v>913</v>
      </c>
      <c r="I101" s="2">
        <f t="shared" si="4"/>
        <v>26</v>
      </c>
      <c r="J101" s="15" t="s">
        <v>852</v>
      </c>
      <c r="K101" s="105" t="s">
        <v>831</v>
      </c>
      <c r="L101" s="15" t="s">
        <v>876</v>
      </c>
      <c r="N101" s="105">
        <f t="shared" si="3"/>
        <v>157</v>
      </c>
    </row>
    <row r="102" spans="1:14" ht="11.25">
      <c r="A102" s="9" t="s">
        <v>1067</v>
      </c>
      <c r="B102" s="15">
        <v>4000</v>
      </c>
      <c r="C102" s="41" t="s">
        <v>743</v>
      </c>
      <c r="D102" s="2">
        <v>43</v>
      </c>
      <c r="E102" s="2">
        <v>33</v>
      </c>
      <c r="F102" s="15">
        <v>86</v>
      </c>
      <c r="G102" s="2" t="s">
        <v>98</v>
      </c>
      <c r="H102" s="105" t="s">
        <v>802</v>
      </c>
      <c r="I102" s="2">
        <f t="shared" si="4"/>
        <v>28</v>
      </c>
      <c r="J102" s="15" t="s">
        <v>848</v>
      </c>
      <c r="K102" s="105" t="s">
        <v>826</v>
      </c>
      <c r="L102" s="15" t="s">
        <v>877</v>
      </c>
      <c r="N102" s="105">
        <f t="shared" si="3"/>
        <v>162</v>
      </c>
    </row>
    <row r="103" spans="1:14" ht="11.25">
      <c r="A103" s="9" t="s">
        <v>682</v>
      </c>
      <c r="B103" s="15">
        <v>4000</v>
      </c>
      <c r="C103" s="41" t="s">
        <v>744</v>
      </c>
      <c r="D103" s="2">
        <v>57</v>
      </c>
      <c r="E103" s="2">
        <v>78</v>
      </c>
      <c r="F103" s="15">
        <v>41</v>
      </c>
      <c r="G103" s="2" t="s">
        <v>703</v>
      </c>
      <c r="H103" s="105" t="s">
        <v>1089</v>
      </c>
      <c r="I103" s="2">
        <f t="shared" si="4"/>
        <v>28</v>
      </c>
      <c r="J103" s="15" t="s">
        <v>845</v>
      </c>
      <c r="K103" s="105" t="s">
        <v>832</v>
      </c>
      <c r="L103" s="15" t="s">
        <v>890</v>
      </c>
      <c r="N103" s="105">
        <f t="shared" si="3"/>
        <v>176</v>
      </c>
    </row>
    <row r="104" spans="1:14" ht="11.25">
      <c r="A104" s="32" t="s">
        <v>1076</v>
      </c>
      <c r="B104" s="15">
        <v>4000</v>
      </c>
      <c r="C104" s="41" t="s">
        <v>745</v>
      </c>
      <c r="D104" s="2">
        <v>79</v>
      </c>
      <c r="E104" s="2">
        <v>69</v>
      </c>
      <c r="F104" s="15">
        <v>80</v>
      </c>
      <c r="G104" s="2" t="s">
        <v>98</v>
      </c>
      <c r="H104" s="105" t="s">
        <v>816</v>
      </c>
      <c r="I104" s="2">
        <f t="shared" si="4"/>
        <v>28</v>
      </c>
      <c r="J104" s="15" t="s">
        <v>846</v>
      </c>
      <c r="K104" s="105" t="s">
        <v>825</v>
      </c>
      <c r="L104" s="15" t="s">
        <v>875</v>
      </c>
      <c r="N104" s="105">
        <f t="shared" si="3"/>
        <v>228</v>
      </c>
    </row>
    <row r="105" spans="1:14" ht="11.25">
      <c r="A105" s="9" t="s">
        <v>320</v>
      </c>
      <c r="B105" s="15">
        <v>5000</v>
      </c>
      <c r="C105" s="41" t="s">
        <v>746</v>
      </c>
      <c r="D105" s="2">
        <v>52</v>
      </c>
      <c r="E105" s="2">
        <v>89</v>
      </c>
      <c r="F105" s="15">
        <v>30</v>
      </c>
      <c r="G105" s="2" t="s">
        <v>704</v>
      </c>
      <c r="H105" s="105" t="s">
        <v>1191</v>
      </c>
      <c r="I105" s="2">
        <f t="shared" si="4"/>
        <v>30</v>
      </c>
      <c r="J105" s="15" t="s">
        <v>861</v>
      </c>
      <c r="K105" s="105" t="s">
        <v>834</v>
      </c>
      <c r="L105" s="15" t="s">
        <v>889</v>
      </c>
      <c r="N105" s="105">
        <f t="shared" si="3"/>
        <v>171</v>
      </c>
    </row>
    <row r="106" spans="1:14" ht="11.25">
      <c r="A106" s="9" t="s">
        <v>1178</v>
      </c>
      <c r="B106" s="15">
        <v>6000</v>
      </c>
      <c r="C106" s="41" t="s">
        <v>747</v>
      </c>
      <c r="D106" s="2">
        <v>62</v>
      </c>
      <c r="E106" s="2">
        <v>33</v>
      </c>
      <c r="F106" s="15">
        <v>86</v>
      </c>
      <c r="G106" s="2" t="s">
        <v>705</v>
      </c>
      <c r="H106" s="105" t="s">
        <v>938</v>
      </c>
      <c r="I106" s="2">
        <f t="shared" si="4"/>
        <v>32</v>
      </c>
      <c r="J106" s="15" t="s">
        <v>908</v>
      </c>
      <c r="K106" s="2" t="s">
        <v>885</v>
      </c>
      <c r="L106" s="106" t="s">
        <v>885</v>
      </c>
      <c r="N106" s="105">
        <f t="shared" si="3"/>
        <v>181</v>
      </c>
    </row>
    <row r="107" spans="1:14" ht="11.25">
      <c r="A107" s="9" t="s">
        <v>1188</v>
      </c>
      <c r="B107" s="15">
        <v>6000</v>
      </c>
      <c r="C107" s="41" t="s">
        <v>748</v>
      </c>
      <c r="D107" s="2">
        <v>77</v>
      </c>
      <c r="E107" s="2">
        <v>59</v>
      </c>
      <c r="F107" s="15">
        <v>52</v>
      </c>
      <c r="G107" s="2" t="s">
        <v>4</v>
      </c>
      <c r="H107" s="105" t="s">
        <v>822</v>
      </c>
      <c r="I107" s="2">
        <f t="shared" si="4"/>
        <v>32</v>
      </c>
      <c r="J107" s="15" t="s">
        <v>858</v>
      </c>
      <c r="K107" s="2" t="s">
        <v>885</v>
      </c>
      <c r="L107" s="106" t="s">
        <v>885</v>
      </c>
      <c r="N107" s="105">
        <f t="shared" si="3"/>
        <v>188</v>
      </c>
    </row>
    <row r="108" spans="1:14" ht="11.25">
      <c r="A108" s="32" t="s">
        <v>1198</v>
      </c>
      <c r="B108" s="15">
        <v>6000</v>
      </c>
      <c r="C108" s="41" t="s">
        <v>749</v>
      </c>
      <c r="D108" s="2">
        <v>78</v>
      </c>
      <c r="E108" s="2">
        <v>79</v>
      </c>
      <c r="F108" s="15">
        <v>80</v>
      </c>
      <c r="G108" s="2" t="s">
        <v>4</v>
      </c>
      <c r="H108" s="105" t="s">
        <v>1163</v>
      </c>
      <c r="I108" s="2">
        <f t="shared" si="4"/>
        <v>32</v>
      </c>
      <c r="J108" s="15" t="s">
        <v>1164</v>
      </c>
      <c r="K108" s="2" t="s">
        <v>885</v>
      </c>
      <c r="L108" s="106" t="s">
        <v>885</v>
      </c>
      <c r="N108" s="105">
        <f t="shared" si="3"/>
        <v>237</v>
      </c>
    </row>
    <row r="109" spans="1:14" ht="11.25">
      <c r="A109" s="32" t="s">
        <v>1218</v>
      </c>
      <c r="B109" s="15">
        <v>7000</v>
      </c>
      <c r="C109" s="41" t="s">
        <v>750</v>
      </c>
      <c r="D109" s="2">
        <v>63</v>
      </c>
      <c r="E109" s="2">
        <v>31</v>
      </c>
      <c r="F109" s="15">
        <v>94</v>
      </c>
      <c r="G109" s="2" t="s">
        <v>100</v>
      </c>
      <c r="H109" s="2" t="s">
        <v>918</v>
      </c>
      <c r="I109" s="2">
        <f t="shared" si="4"/>
        <v>34</v>
      </c>
      <c r="J109" s="15" t="s">
        <v>851</v>
      </c>
      <c r="K109" s="2" t="s">
        <v>885</v>
      </c>
      <c r="L109" s="106" t="s">
        <v>885</v>
      </c>
      <c r="N109" s="105">
        <f t="shared" si="3"/>
        <v>188</v>
      </c>
    </row>
    <row r="110" spans="1:14" ht="11.25">
      <c r="A110" s="56" t="s">
        <v>1221</v>
      </c>
      <c r="B110" s="15">
        <v>7000</v>
      </c>
      <c r="C110" s="41" t="s">
        <v>751</v>
      </c>
      <c r="D110" s="2">
        <v>72</v>
      </c>
      <c r="E110" s="2">
        <v>26</v>
      </c>
      <c r="F110" s="15">
        <v>95</v>
      </c>
      <c r="G110" s="2" t="s">
        <v>705</v>
      </c>
      <c r="H110" s="2" t="s">
        <v>1165</v>
      </c>
      <c r="I110" s="2">
        <f t="shared" si="4"/>
        <v>34</v>
      </c>
      <c r="J110" s="15" t="s">
        <v>955</v>
      </c>
      <c r="K110" s="2" t="s">
        <v>885</v>
      </c>
      <c r="L110" s="106" t="s">
        <v>885</v>
      </c>
      <c r="N110" s="105">
        <f t="shared" si="3"/>
        <v>193</v>
      </c>
    </row>
    <row r="111" spans="1:14" ht="11.25">
      <c r="A111" s="9" t="s">
        <v>1228</v>
      </c>
      <c r="B111" s="15">
        <v>7000</v>
      </c>
      <c r="C111" s="41" t="s">
        <v>752</v>
      </c>
      <c r="D111" s="2">
        <v>65</v>
      </c>
      <c r="E111" s="2">
        <v>92</v>
      </c>
      <c r="F111" s="15">
        <v>37</v>
      </c>
      <c r="G111" s="2" t="s">
        <v>704</v>
      </c>
      <c r="H111" s="2" t="s">
        <v>813</v>
      </c>
      <c r="I111" s="2">
        <f t="shared" si="4"/>
        <v>34</v>
      </c>
      <c r="J111" s="15" t="s">
        <v>852</v>
      </c>
      <c r="K111" s="2" t="s">
        <v>872</v>
      </c>
      <c r="L111" s="15" t="s">
        <v>873</v>
      </c>
      <c r="N111" s="105">
        <f t="shared" si="3"/>
        <v>194</v>
      </c>
    </row>
    <row r="112" spans="1:14" ht="11.25">
      <c r="A112" s="9" t="s">
        <v>321</v>
      </c>
      <c r="B112" s="15">
        <v>7000</v>
      </c>
      <c r="C112" s="41" t="s">
        <v>753</v>
      </c>
      <c r="D112" s="2">
        <v>68</v>
      </c>
      <c r="E112" s="2">
        <v>97</v>
      </c>
      <c r="F112" s="15">
        <v>35</v>
      </c>
      <c r="G112" s="2" t="s">
        <v>703</v>
      </c>
      <c r="H112" s="2" t="s">
        <v>806</v>
      </c>
      <c r="I112" s="2">
        <f t="shared" si="4"/>
        <v>34</v>
      </c>
      <c r="J112" s="15" t="s">
        <v>846</v>
      </c>
      <c r="K112" s="2" t="s">
        <v>830</v>
      </c>
      <c r="L112" s="15" t="s">
        <v>878</v>
      </c>
      <c r="N112" s="105">
        <f t="shared" si="3"/>
        <v>200</v>
      </c>
    </row>
    <row r="113" spans="1:14" ht="11.25">
      <c r="A113" s="32" t="s">
        <v>888</v>
      </c>
      <c r="B113" s="15">
        <v>7000</v>
      </c>
      <c r="C113" s="41" t="s">
        <v>754</v>
      </c>
      <c r="D113" s="2">
        <v>75</v>
      </c>
      <c r="E113" s="2">
        <v>83</v>
      </c>
      <c r="F113" s="15">
        <v>42</v>
      </c>
      <c r="G113" s="2" t="s">
        <v>704</v>
      </c>
      <c r="H113" s="2" t="s">
        <v>801</v>
      </c>
      <c r="I113" s="2">
        <f t="shared" si="4"/>
        <v>34</v>
      </c>
      <c r="J113" s="15" t="s">
        <v>849</v>
      </c>
      <c r="K113" s="2" t="s">
        <v>828</v>
      </c>
      <c r="L113" s="15" t="s">
        <v>886</v>
      </c>
      <c r="N113" s="105">
        <f t="shared" si="3"/>
        <v>200</v>
      </c>
    </row>
    <row r="114" spans="1:14" ht="11.25">
      <c r="A114" s="9" t="s">
        <v>322</v>
      </c>
      <c r="B114" s="15">
        <v>8000</v>
      </c>
      <c r="C114" s="41" t="s">
        <v>755</v>
      </c>
      <c r="D114" s="2">
        <v>77</v>
      </c>
      <c r="E114" s="2">
        <v>92</v>
      </c>
      <c r="F114" s="15">
        <v>32</v>
      </c>
      <c r="G114" s="2" t="s">
        <v>703</v>
      </c>
      <c r="H114" s="2" t="s">
        <v>810</v>
      </c>
      <c r="I114" s="2">
        <f t="shared" si="4"/>
        <v>36</v>
      </c>
      <c r="J114" s="15" t="s">
        <v>861</v>
      </c>
      <c r="K114" s="2" t="s">
        <v>894</v>
      </c>
      <c r="L114" s="15" t="s">
        <v>895</v>
      </c>
      <c r="N114" s="105">
        <f t="shared" si="3"/>
        <v>201</v>
      </c>
    </row>
    <row r="115" spans="1:14" ht="11.25">
      <c r="A115" s="9" t="s">
        <v>1301</v>
      </c>
      <c r="B115" s="15">
        <v>8000</v>
      </c>
      <c r="C115" s="41" t="s">
        <v>756</v>
      </c>
      <c r="D115" s="2">
        <v>83</v>
      </c>
      <c r="E115" s="2">
        <v>68</v>
      </c>
      <c r="F115" s="15">
        <v>53</v>
      </c>
      <c r="G115" s="2" t="s">
        <v>98</v>
      </c>
      <c r="H115" s="2" t="s">
        <v>1315</v>
      </c>
      <c r="I115" s="2">
        <f t="shared" si="4"/>
        <v>36</v>
      </c>
      <c r="J115" s="15" t="s">
        <v>861</v>
      </c>
      <c r="K115" s="2" t="s">
        <v>904</v>
      </c>
      <c r="L115" s="15" t="s">
        <v>905</v>
      </c>
      <c r="N115" s="105">
        <f t="shared" si="3"/>
        <v>204</v>
      </c>
    </row>
    <row r="116" spans="1:14" ht="11.25">
      <c r="A116" s="32" t="s">
        <v>1330</v>
      </c>
      <c r="B116" s="15">
        <v>8000</v>
      </c>
      <c r="C116" s="41" t="s">
        <v>757</v>
      </c>
      <c r="D116" s="2">
        <v>63</v>
      </c>
      <c r="E116" s="2">
        <v>62</v>
      </c>
      <c r="F116" s="15">
        <v>88</v>
      </c>
      <c r="G116" s="2" t="s">
        <v>705</v>
      </c>
      <c r="H116" s="103" t="s">
        <v>1072</v>
      </c>
      <c r="I116" s="2">
        <f t="shared" si="4"/>
        <v>36</v>
      </c>
      <c r="J116" s="15" t="s">
        <v>855</v>
      </c>
      <c r="K116" s="2" t="s">
        <v>885</v>
      </c>
      <c r="L116" s="106" t="s">
        <v>885</v>
      </c>
      <c r="N116" s="105">
        <f t="shared" si="3"/>
        <v>213</v>
      </c>
    </row>
    <row r="117" spans="1:14" ht="11.25">
      <c r="A117" s="9" t="s">
        <v>323</v>
      </c>
      <c r="B117" s="15">
        <v>9000</v>
      </c>
      <c r="C117" s="41" t="s">
        <v>758</v>
      </c>
      <c r="D117" s="2">
        <v>68</v>
      </c>
      <c r="E117" s="2">
        <v>108</v>
      </c>
      <c r="F117" s="15">
        <v>33</v>
      </c>
      <c r="G117" s="2" t="s">
        <v>703</v>
      </c>
      <c r="H117" s="2" t="s">
        <v>1227</v>
      </c>
      <c r="I117" s="2">
        <f t="shared" si="4"/>
        <v>38</v>
      </c>
      <c r="J117" s="15" t="s">
        <v>1387</v>
      </c>
      <c r="K117" s="2" t="s">
        <v>901</v>
      </c>
      <c r="L117" s="15" t="s">
        <v>900</v>
      </c>
      <c r="N117" s="105">
        <f t="shared" si="3"/>
        <v>209</v>
      </c>
    </row>
    <row r="118" spans="1:14" ht="11.25">
      <c r="A118" s="32" t="s">
        <v>1196</v>
      </c>
      <c r="B118" s="15">
        <v>9000</v>
      </c>
      <c r="C118" s="41" t="s">
        <v>759</v>
      </c>
      <c r="D118" s="2">
        <v>85</v>
      </c>
      <c r="E118" s="2">
        <v>95</v>
      </c>
      <c r="F118" s="15">
        <v>37</v>
      </c>
      <c r="G118" s="2" t="s">
        <v>703</v>
      </c>
      <c r="H118" s="2" t="s">
        <v>1226</v>
      </c>
      <c r="I118" s="2">
        <f t="shared" si="4"/>
        <v>38</v>
      </c>
      <c r="J118" s="15" t="s">
        <v>863</v>
      </c>
      <c r="K118" s="2" t="s">
        <v>830</v>
      </c>
      <c r="L118" s="15" t="s">
        <v>878</v>
      </c>
      <c r="N118" s="105">
        <f t="shared" si="3"/>
        <v>217</v>
      </c>
    </row>
    <row r="119" spans="1:14" ht="11.25">
      <c r="A119" s="9" t="s">
        <v>1211</v>
      </c>
      <c r="B119" s="15">
        <v>9000</v>
      </c>
      <c r="C119" s="41" t="s">
        <v>760</v>
      </c>
      <c r="D119" s="2">
        <v>79</v>
      </c>
      <c r="E119" s="2">
        <v>45</v>
      </c>
      <c r="F119" s="15">
        <v>107</v>
      </c>
      <c r="G119" s="2" t="s">
        <v>705</v>
      </c>
      <c r="H119" s="105" t="s">
        <v>871</v>
      </c>
      <c r="I119" s="2">
        <f t="shared" si="4"/>
        <v>38</v>
      </c>
      <c r="J119" s="15" t="s">
        <v>853</v>
      </c>
      <c r="K119" s="2" t="s">
        <v>885</v>
      </c>
      <c r="L119" s="106" t="s">
        <v>885</v>
      </c>
      <c r="N119" s="105">
        <f t="shared" si="3"/>
        <v>231</v>
      </c>
    </row>
    <row r="120" spans="1:14" ht="11.25">
      <c r="A120" s="9" t="s">
        <v>1210</v>
      </c>
      <c r="B120" s="15">
        <v>9000</v>
      </c>
      <c r="C120" s="41" t="s">
        <v>761</v>
      </c>
      <c r="D120" s="2">
        <v>84</v>
      </c>
      <c r="E120" s="2">
        <v>93</v>
      </c>
      <c r="F120" s="15">
        <v>68</v>
      </c>
      <c r="G120" s="2" t="s">
        <v>704</v>
      </c>
      <c r="H120" s="2" t="s">
        <v>807</v>
      </c>
      <c r="I120" s="2">
        <f t="shared" si="4"/>
        <v>38</v>
      </c>
      <c r="J120" s="15" t="s">
        <v>846</v>
      </c>
      <c r="K120" s="2" t="s">
        <v>883</v>
      </c>
      <c r="L120" s="15" t="s">
        <v>884</v>
      </c>
      <c r="N120" s="105">
        <f t="shared" si="3"/>
        <v>245</v>
      </c>
    </row>
    <row r="121" spans="1:14" ht="11.25">
      <c r="A121" s="32" t="s">
        <v>1213</v>
      </c>
      <c r="B121" s="15">
        <v>9000</v>
      </c>
      <c r="C121" s="41" t="s">
        <v>762</v>
      </c>
      <c r="D121" s="2">
        <v>88</v>
      </c>
      <c r="E121" s="2">
        <v>101</v>
      </c>
      <c r="F121" s="15">
        <v>61</v>
      </c>
      <c r="G121" s="2" t="s">
        <v>704</v>
      </c>
      <c r="H121" s="2" t="s">
        <v>980</v>
      </c>
      <c r="I121" s="2">
        <f t="shared" si="4"/>
        <v>38</v>
      </c>
      <c r="J121" s="15" t="s">
        <v>860</v>
      </c>
      <c r="K121" s="2" t="s">
        <v>880</v>
      </c>
      <c r="L121" s="15" t="s">
        <v>881</v>
      </c>
      <c r="N121" s="105">
        <f t="shared" si="3"/>
        <v>250</v>
      </c>
    </row>
    <row r="122" spans="1:14" ht="11.25">
      <c r="A122" s="32" t="s">
        <v>324</v>
      </c>
      <c r="B122" s="15">
        <v>10000</v>
      </c>
      <c r="C122" s="41" t="s">
        <v>763</v>
      </c>
      <c r="D122" s="2">
        <v>75</v>
      </c>
      <c r="E122" s="2">
        <v>108</v>
      </c>
      <c r="F122" s="15">
        <v>33</v>
      </c>
      <c r="G122" s="2" t="s">
        <v>703</v>
      </c>
      <c r="H122" s="2" t="s">
        <v>798</v>
      </c>
      <c r="I122" s="2">
        <f t="shared" si="4"/>
        <v>40</v>
      </c>
      <c r="J122" s="15" t="s">
        <v>844</v>
      </c>
      <c r="K122" s="2" t="s">
        <v>891</v>
      </c>
      <c r="L122" s="15" t="s">
        <v>1386</v>
      </c>
      <c r="N122" s="105">
        <f t="shared" si="3"/>
        <v>216</v>
      </c>
    </row>
    <row r="123" spans="1:14" ht="11.25">
      <c r="A123" s="32" t="s">
        <v>325</v>
      </c>
      <c r="B123" s="15">
        <v>10000</v>
      </c>
      <c r="C123" s="41" t="s">
        <v>764</v>
      </c>
      <c r="D123" s="2">
        <v>94</v>
      </c>
      <c r="E123" s="2">
        <v>34</v>
      </c>
      <c r="F123" s="15">
        <v>118</v>
      </c>
      <c r="G123" s="2" t="s">
        <v>705</v>
      </c>
      <c r="H123" s="105" t="s">
        <v>1070</v>
      </c>
      <c r="I123" s="2">
        <f t="shared" si="4"/>
        <v>40</v>
      </c>
      <c r="J123" s="106" t="s">
        <v>854</v>
      </c>
      <c r="K123" s="2" t="s">
        <v>885</v>
      </c>
      <c r="L123" s="106" t="s">
        <v>885</v>
      </c>
      <c r="N123" s="105">
        <f t="shared" si="3"/>
        <v>246</v>
      </c>
    </row>
    <row r="124" spans="1:14" ht="11.25">
      <c r="A124" s="56" t="s">
        <v>326</v>
      </c>
      <c r="B124" s="15">
        <v>10000</v>
      </c>
      <c r="C124" s="41" t="s">
        <v>765</v>
      </c>
      <c r="D124" s="2">
        <v>104</v>
      </c>
      <c r="E124" s="2">
        <v>49</v>
      </c>
      <c r="F124" s="15">
        <v>98</v>
      </c>
      <c r="G124" s="2" t="s">
        <v>99</v>
      </c>
      <c r="H124" s="105" t="s">
        <v>1071</v>
      </c>
      <c r="I124" s="2">
        <f t="shared" si="4"/>
        <v>40</v>
      </c>
      <c r="J124" s="106" t="s">
        <v>857</v>
      </c>
      <c r="K124" s="2" t="s">
        <v>885</v>
      </c>
      <c r="L124" s="106" t="s">
        <v>885</v>
      </c>
      <c r="N124" s="105">
        <f t="shared" si="3"/>
        <v>251</v>
      </c>
    </row>
    <row r="125" spans="1:14" ht="11.25">
      <c r="A125" s="32" t="s">
        <v>1418</v>
      </c>
      <c r="B125" s="15">
        <v>10000</v>
      </c>
      <c r="C125" s="41" t="s">
        <v>766</v>
      </c>
      <c r="D125" s="2">
        <v>104</v>
      </c>
      <c r="E125" s="2">
        <v>98</v>
      </c>
      <c r="F125" s="15">
        <v>65</v>
      </c>
      <c r="G125" s="2" t="s">
        <v>704</v>
      </c>
      <c r="H125" s="105" t="s">
        <v>1044</v>
      </c>
      <c r="I125" s="2">
        <f t="shared" si="4"/>
        <v>40</v>
      </c>
      <c r="J125" s="106" t="s">
        <v>845</v>
      </c>
      <c r="K125" s="105" t="s">
        <v>892</v>
      </c>
      <c r="L125" s="15" t="s">
        <v>893</v>
      </c>
      <c r="N125" s="105">
        <f t="shared" si="3"/>
        <v>267</v>
      </c>
    </row>
    <row r="126" spans="1:14" ht="11.25">
      <c r="A126" s="33" t="s">
        <v>327</v>
      </c>
      <c r="B126" s="16">
        <v>10000</v>
      </c>
      <c r="C126" s="42" t="s">
        <v>767</v>
      </c>
      <c r="D126" s="6">
        <v>120</v>
      </c>
      <c r="E126" s="6">
        <v>70</v>
      </c>
      <c r="F126" s="16">
        <v>98</v>
      </c>
      <c r="G126" s="6" t="s">
        <v>703</v>
      </c>
      <c r="H126" s="6" t="s">
        <v>1317</v>
      </c>
      <c r="I126" s="6">
        <f t="shared" si="4"/>
        <v>40</v>
      </c>
      <c r="J126" s="16" t="s">
        <v>852</v>
      </c>
      <c r="K126" s="6" t="s">
        <v>903</v>
      </c>
      <c r="L126" s="16" t="s">
        <v>902</v>
      </c>
      <c r="N126" s="105">
        <f t="shared" si="3"/>
        <v>288</v>
      </c>
    </row>
    <row r="127" spans="1:14" ht="11.25">
      <c r="A127" s="57" t="s">
        <v>1321</v>
      </c>
      <c r="B127" s="2">
        <v>7000</v>
      </c>
      <c r="C127" s="41" t="s">
        <v>768</v>
      </c>
      <c r="D127" s="2">
        <v>80</v>
      </c>
      <c r="E127" s="2">
        <v>72</v>
      </c>
      <c r="F127" s="15">
        <v>45</v>
      </c>
      <c r="G127" s="2" t="s">
        <v>703</v>
      </c>
      <c r="H127" s="2" t="s">
        <v>935</v>
      </c>
      <c r="I127" s="2">
        <f t="shared" si="4"/>
        <v>34</v>
      </c>
      <c r="J127" s="15" t="s">
        <v>849</v>
      </c>
      <c r="K127" s="38" t="s">
        <v>830</v>
      </c>
      <c r="L127" s="39" t="s">
        <v>878</v>
      </c>
      <c r="N127" s="105">
        <f t="shared" si="3"/>
        <v>197</v>
      </c>
    </row>
    <row r="128" spans="1:14" ht="11.25">
      <c r="A128" s="49" t="s">
        <v>302</v>
      </c>
      <c r="B128" s="2">
        <v>5000</v>
      </c>
      <c r="C128" s="41" t="s">
        <v>769</v>
      </c>
      <c r="D128" s="2">
        <v>63</v>
      </c>
      <c r="E128" s="2">
        <v>17</v>
      </c>
      <c r="F128" s="15">
        <v>82</v>
      </c>
      <c r="G128" s="2" t="s">
        <v>100</v>
      </c>
      <c r="H128" s="2" t="s">
        <v>918</v>
      </c>
      <c r="I128" s="2">
        <f t="shared" si="4"/>
        <v>30</v>
      </c>
      <c r="J128" s="15" t="s">
        <v>851</v>
      </c>
      <c r="K128" s="2" t="s">
        <v>885</v>
      </c>
      <c r="L128" s="106" t="s">
        <v>885</v>
      </c>
      <c r="N128" s="105">
        <f t="shared" si="3"/>
        <v>162</v>
      </c>
    </row>
    <row r="129" spans="1:14" ht="11.25">
      <c r="A129" s="54" t="s">
        <v>303</v>
      </c>
      <c r="B129" s="2">
        <v>8000</v>
      </c>
      <c r="C129" s="41" t="s">
        <v>770</v>
      </c>
      <c r="D129" s="2">
        <v>62</v>
      </c>
      <c r="E129" s="2">
        <v>88</v>
      </c>
      <c r="F129" s="15">
        <v>52</v>
      </c>
      <c r="G129" s="2" t="s">
        <v>100</v>
      </c>
      <c r="H129" s="105" t="s">
        <v>820</v>
      </c>
      <c r="I129" s="2">
        <f t="shared" si="4"/>
        <v>36</v>
      </c>
      <c r="J129" s="15" t="s">
        <v>865</v>
      </c>
      <c r="K129" s="2" t="s">
        <v>885</v>
      </c>
      <c r="L129" s="106" t="s">
        <v>885</v>
      </c>
      <c r="N129" s="105">
        <f t="shared" si="3"/>
        <v>202</v>
      </c>
    </row>
    <row r="130" spans="1:14" ht="11.25">
      <c r="A130" s="49" t="s">
        <v>304</v>
      </c>
      <c r="B130" s="2">
        <v>3000</v>
      </c>
      <c r="C130" s="41" t="s">
        <v>771</v>
      </c>
      <c r="D130" s="2">
        <v>42</v>
      </c>
      <c r="E130" s="2">
        <v>17</v>
      </c>
      <c r="F130" s="15">
        <v>90</v>
      </c>
      <c r="G130" s="2" t="s">
        <v>705</v>
      </c>
      <c r="H130" s="105" t="s">
        <v>1070</v>
      </c>
      <c r="I130" s="2">
        <f t="shared" si="4"/>
        <v>26</v>
      </c>
      <c r="J130" s="15" t="s">
        <v>854</v>
      </c>
      <c r="K130" s="2" t="s">
        <v>885</v>
      </c>
      <c r="L130" s="106" t="s">
        <v>885</v>
      </c>
      <c r="N130" s="105">
        <f t="shared" si="3"/>
        <v>149</v>
      </c>
    </row>
    <row r="131" spans="1:14" ht="11.25">
      <c r="A131" s="49" t="s">
        <v>1368</v>
      </c>
      <c r="B131" s="2">
        <v>4000</v>
      </c>
      <c r="C131" s="41" t="s">
        <v>772</v>
      </c>
      <c r="D131" s="2">
        <v>38</v>
      </c>
      <c r="E131" s="2">
        <v>34</v>
      </c>
      <c r="F131" s="15">
        <v>83</v>
      </c>
      <c r="G131" s="2" t="s">
        <v>98</v>
      </c>
      <c r="H131" s="2" t="s">
        <v>1136</v>
      </c>
      <c r="I131" s="2">
        <f t="shared" si="4"/>
        <v>28</v>
      </c>
      <c r="J131" s="15" t="s">
        <v>849</v>
      </c>
      <c r="K131" s="2" t="s">
        <v>829</v>
      </c>
      <c r="L131" s="15" t="s">
        <v>879</v>
      </c>
      <c r="N131" s="105">
        <f aca="true" t="shared" si="5" ref="N131:N156">D131+E131+F131</f>
        <v>155</v>
      </c>
    </row>
    <row r="132" spans="1:14" ht="11.25">
      <c r="A132" s="49" t="s">
        <v>1377</v>
      </c>
      <c r="B132" s="2">
        <v>4000</v>
      </c>
      <c r="C132" s="41" t="s">
        <v>773</v>
      </c>
      <c r="D132" s="2">
        <v>53</v>
      </c>
      <c r="E132" s="2">
        <v>18</v>
      </c>
      <c r="F132" s="15">
        <v>91</v>
      </c>
      <c r="G132" s="2" t="s">
        <v>705</v>
      </c>
      <c r="H132" s="2" t="s">
        <v>1165</v>
      </c>
      <c r="I132" s="2">
        <f t="shared" si="4"/>
        <v>28</v>
      </c>
      <c r="J132" s="15" t="s">
        <v>955</v>
      </c>
      <c r="K132" s="2" t="s">
        <v>885</v>
      </c>
      <c r="L132" s="106" t="s">
        <v>885</v>
      </c>
      <c r="N132" s="105">
        <f t="shared" si="5"/>
        <v>162</v>
      </c>
    </row>
    <row r="133" spans="1:14" ht="11.25">
      <c r="A133" s="49" t="s">
        <v>1390</v>
      </c>
      <c r="B133" s="2">
        <v>4000</v>
      </c>
      <c r="C133" s="41" t="s">
        <v>774</v>
      </c>
      <c r="D133" s="2">
        <v>58</v>
      </c>
      <c r="E133" s="2">
        <v>73</v>
      </c>
      <c r="F133" s="15">
        <v>33</v>
      </c>
      <c r="G133" s="2" t="s">
        <v>98</v>
      </c>
      <c r="H133" s="2" t="s">
        <v>1238</v>
      </c>
      <c r="I133" s="2">
        <f t="shared" si="4"/>
        <v>28</v>
      </c>
      <c r="J133" s="15" t="s">
        <v>845</v>
      </c>
      <c r="K133" s="2" t="s">
        <v>898</v>
      </c>
      <c r="L133" s="15" t="s">
        <v>899</v>
      </c>
      <c r="N133" s="105">
        <f t="shared" si="5"/>
        <v>164</v>
      </c>
    </row>
    <row r="134" spans="1:14" ht="11.25">
      <c r="A134" s="65" t="s">
        <v>1515</v>
      </c>
      <c r="B134" s="2">
        <v>4000</v>
      </c>
      <c r="C134" s="41" t="s">
        <v>775</v>
      </c>
      <c r="D134" s="2">
        <v>50</v>
      </c>
      <c r="E134" s="2">
        <v>32</v>
      </c>
      <c r="F134" s="15">
        <v>88</v>
      </c>
      <c r="G134" s="2" t="s">
        <v>705</v>
      </c>
      <c r="H134" s="2" t="s">
        <v>871</v>
      </c>
      <c r="I134" s="2">
        <f t="shared" si="4"/>
        <v>28</v>
      </c>
      <c r="J134" s="15" t="s">
        <v>853</v>
      </c>
      <c r="K134" s="2" t="s">
        <v>885</v>
      </c>
      <c r="L134" s="106" t="s">
        <v>885</v>
      </c>
      <c r="N134" s="105">
        <f t="shared" si="5"/>
        <v>170</v>
      </c>
    </row>
    <row r="135" spans="1:14" ht="11.25">
      <c r="A135" s="49" t="s">
        <v>305</v>
      </c>
      <c r="B135" s="2">
        <v>5000</v>
      </c>
      <c r="C135" s="41" t="s">
        <v>776</v>
      </c>
      <c r="D135" s="2">
        <v>57</v>
      </c>
      <c r="E135" s="2">
        <v>12</v>
      </c>
      <c r="F135" s="15">
        <v>85</v>
      </c>
      <c r="G135" s="2" t="s">
        <v>100</v>
      </c>
      <c r="H135" s="2" t="s">
        <v>820</v>
      </c>
      <c r="I135" s="2">
        <f t="shared" si="4"/>
        <v>30</v>
      </c>
      <c r="J135" s="15" t="s">
        <v>865</v>
      </c>
      <c r="K135" s="2" t="s">
        <v>885</v>
      </c>
      <c r="L135" s="106" t="s">
        <v>885</v>
      </c>
      <c r="N135" s="105">
        <f t="shared" si="5"/>
        <v>154</v>
      </c>
    </row>
    <row r="136" spans="1:14" ht="11.25">
      <c r="A136" s="49" t="s">
        <v>306</v>
      </c>
      <c r="B136" s="2">
        <v>5000</v>
      </c>
      <c r="C136" s="41" t="s">
        <v>777</v>
      </c>
      <c r="D136" s="2">
        <v>47</v>
      </c>
      <c r="E136" s="2">
        <v>90</v>
      </c>
      <c r="F136" s="15">
        <v>31</v>
      </c>
      <c r="G136" s="2" t="s">
        <v>98</v>
      </c>
      <c r="H136" s="2" t="s">
        <v>913</v>
      </c>
      <c r="I136" s="2">
        <f t="shared" si="4"/>
        <v>30</v>
      </c>
      <c r="J136" s="15" t="s">
        <v>852</v>
      </c>
      <c r="K136" s="2" t="s">
        <v>827</v>
      </c>
      <c r="L136" s="15" t="s">
        <v>874</v>
      </c>
      <c r="N136" s="105">
        <f t="shared" si="5"/>
        <v>168</v>
      </c>
    </row>
    <row r="137" spans="1:14" ht="11.25">
      <c r="A137" s="49" t="s">
        <v>307</v>
      </c>
      <c r="B137" s="2">
        <v>6000</v>
      </c>
      <c r="C137" s="41" t="s">
        <v>778</v>
      </c>
      <c r="D137" s="2">
        <v>68</v>
      </c>
      <c r="E137" s="2">
        <v>79</v>
      </c>
      <c r="F137" s="15">
        <v>31</v>
      </c>
      <c r="G137" s="2" t="s">
        <v>4</v>
      </c>
      <c r="H137" s="2" t="s">
        <v>822</v>
      </c>
      <c r="I137" s="2">
        <f t="shared" si="4"/>
        <v>32</v>
      </c>
      <c r="J137" s="15" t="s">
        <v>858</v>
      </c>
      <c r="K137" s="2" t="s">
        <v>885</v>
      </c>
      <c r="L137" s="106" t="s">
        <v>885</v>
      </c>
      <c r="N137" s="105">
        <f t="shared" si="5"/>
        <v>178</v>
      </c>
    </row>
    <row r="138" spans="1:14" ht="11.25">
      <c r="A138" s="54" t="s">
        <v>308</v>
      </c>
      <c r="B138" s="2">
        <v>6000</v>
      </c>
      <c r="C138" s="41" t="s">
        <v>779</v>
      </c>
      <c r="D138" s="2">
        <v>63</v>
      </c>
      <c r="E138" s="2">
        <v>88</v>
      </c>
      <c r="F138" s="15">
        <v>29</v>
      </c>
      <c r="G138" s="2" t="s">
        <v>98</v>
      </c>
      <c r="H138" s="2" t="s">
        <v>1316</v>
      </c>
      <c r="I138" s="2">
        <f t="shared" si="4"/>
        <v>32</v>
      </c>
      <c r="J138" s="15" t="s">
        <v>847</v>
      </c>
      <c r="K138" s="2" t="s">
        <v>831</v>
      </c>
      <c r="L138" s="15" t="s">
        <v>876</v>
      </c>
      <c r="N138" s="105">
        <f t="shared" si="5"/>
        <v>180</v>
      </c>
    </row>
    <row r="139" spans="1:14" ht="11.25">
      <c r="A139" s="49" t="s">
        <v>309</v>
      </c>
      <c r="B139" s="2">
        <v>6000</v>
      </c>
      <c r="C139" s="41" t="s">
        <v>780</v>
      </c>
      <c r="D139" s="2">
        <v>73</v>
      </c>
      <c r="E139" s="2">
        <v>69</v>
      </c>
      <c r="F139" s="15">
        <v>47</v>
      </c>
      <c r="G139" s="2" t="s">
        <v>703</v>
      </c>
      <c r="H139" s="2" t="s">
        <v>1089</v>
      </c>
      <c r="I139" s="2">
        <f t="shared" si="4"/>
        <v>32</v>
      </c>
      <c r="J139" s="15" t="s">
        <v>845</v>
      </c>
      <c r="K139" s="2" t="s">
        <v>834</v>
      </c>
      <c r="L139" s="15" t="s">
        <v>889</v>
      </c>
      <c r="N139" s="105">
        <f t="shared" si="5"/>
        <v>189</v>
      </c>
    </row>
    <row r="140" spans="1:14" ht="11.25">
      <c r="A140" s="54" t="s">
        <v>310</v>
      </c>
      <c r="B140" s="2">
        <v>7000</v>
      </c>
      <c r="C140" s="41" t="s">
        <v>781</v>
      </c>
      <c r="D140" s="2">
        <v>73</v>
      </c>
      <c r="E140" s="2">
        <v>85</v>
      </c>
      <c r="F140" s="15">
        <v>32</v>
      </c>
      <c r="G140" s="2" t="s">
        <v>98</v>
      </c>
      <c r="H140" s="2" t="s">
        <v>1167</v>
      </c>
      <c r="I140" s="2">
        <f t="shared" si="4"/>
        <v>34</v>
      </c>
      <c r="J140" s="15" t="s">
        <v>844</v>
      </c>
      <c r="K140" s="2" t="s">
        <v>883</v>
      </c>
      <c r="L140" s="15" t="s">
        <v>884</v>
      </c>
      <c r="N140" s="105">
        <f t="shared" si="5"/>
        <v>190</v>
      </c>
    </row>
    <row r="141" spans="1:14" ht="11.25">
      <c r="A141" s="49" t="s">
        <v>311</v>
      </c>
      <c r="B141" s="2">
        <v>7000</v>
      </c>
      <c r="C141" s="41" t="s">
        <v>782</v>
      </c>
      <c r="D141" s="2">
        <v>66</v>
      </c>
      <c r="E141" s="2">
        <v>30</v>
      </c>
      <c r="F141" s="15">
        <v>94</v>
      </c>
      <c r="G141" s="2" t="s">
        <v>705</v>
      </c>
      <c r="H141" s="2" t="s">
        <v>1072</v>
      </c>
      <c r="I141" s="2">
        <f t="shared" si="4"/>
        <v>34</v>
      </c>
      <c r="J141" s="15" t="s">
        <v>855</v>
      </c>
      <c r="K141" s="2" t="s">
        <v>885</v>
      </c>
      <c r="L141" s="106" t="s">
        <v>885</v>
      </c>
      <c r="N141" s="105">
        <f t="shared" si="5"/>
        <v>190</v>
      </c>
    </row>
    <row r="142" spans="1:14" ht="11.25">
      <c r="A142" s="54" t="s">
        <v>1392</v>
      </c>
      <c r="B142" s="2">
        <v>7000</v>
      </c>
      <c r="C142" s="41" t="s">
        <v>783</v>
      </c>
      <c r="D142" s="2">
        <v>67</v>
      </c>
      <c r="E142" s="2">
        <v>87</v>
      </c>
      <c r="F142" s="15">
        <v>38</v>
      </c>
      <c r="G142" s="2" t="s">
        <v>704</v>
      </c>
      <c r="H142" s="2" t="s">
        <v>801</v>
      </c>
      <c r="I142" s="2">
        <f t="shared" si="4"/>
        <v>34</v>
      </c>
      <c r="J142" s="15" t="s">
        <v>849</v>
      </c>
      <c r="K142" s="2" t="s">
        <v>832</v>
      </c>
      <c r="L142" s="15" t="s">
        <v>890</v>
      </c>
      <c r="N142" s="105">
        <f t="shared" si="5"/>
        <v>192</v>
      </c>
    </row>
    <row r="143" spans="1:14" ht="11.25">
      <c r="A143" s="49" t="s">
        <v>1516</v>
      </c>
      <c r="B143" s="2">
        <v>7000</v>
      </c>
      <c r="C143" s="41" t="s">
        <v>784</v>
      </c>
      <c r="D143" s="2">
        <v>77</v>
      </c>
      <c r="E143" s="2">
        <v>77</v>
      </c>
      <c r="F143" s="15">
        <v>38</v>
      </c>
      <c r="G143" s="2" t="s">
        <v>704</v>
      </c>
      <c r="H143" s="2" t="s">
        <v>823</v>
      </c>
      <c r="I143" s="2">
        <f t="shared" si="4"/>
        <v>34</v>
      </c>
      <c r="J143" s="15" t="s">
        <v>844</v>
      </c>
      <c r="K143" s="2" t="s">
        <v>894</v>
      </c>
      <c r="L143" s="15" t="s">
        <v>895</v>
      </c>
      <c r="N143" s="105">
        <f t="shared" si="5"/>
        <v>192</v>
      </c>
    </row>
    <row r="144" spans="1:14" ht="11.25">
      <c r="A144" s="49" t="s">
        <v>1391</v>
      </c>
      <c r="B144" s="2">
        <v>7000</v>
      </c>
      <c r="C144" s="41" t="s">
        <v>785</v>
      </c>
      <c r="D144" s="2">
        <v>74</v>
      </c>
      <c r="E144" s="2">
        <v>28</v>
      </c>
      <c r="F144" s="15">
        <v>97</v>
      </c>
      <c r="G144" s="2" t="s">
        <v>705</v>
      </c>
      <c r="H144" s="2" t="s">
        <v>919</v>
      </c>
      <c r="I144" s="2">
        <f t="shared" si="4"/>
        <v>34</v>
      </c>
      <c r="J144" s="15" t="s">
        <v>909</v>
      </c>
      <c r="K144" s="2" t="s">
        <v>885</v>
      </c>
      <c r="L144" s="106" t="s">
        <v>885</v>
      </c>
      <c r="N144" s="105">
        <f t="shared" si="5"/>
        <v>199</v>
      </c>
    </row>
    <row r="145" spans="1:14" ht="11.25">
      <c r="A145" s="54" t="s">
        <v>312</v>
      </c>
      <c r="B145" s="2">
        <v>7000</v>
      </c>
      <c r="C145" s="41" t="s">
        <v>786</v>
      </c>
      <c r="D145" s="2">
        <v>76</v>
      </c>
      <c r="E145" s="2">
        <v>76</v>
      </c>
      <c r="F145" s="15">
        <v>47</v>
      </c>
      <c r="G145" s="2" t="s">
        <v>703</v>
      </c>
      <c r="H145" s="2" t="s">
        <v>1226</v>
      </c>
      <c r="I145" s="2">
        <f t="shared" si="4"/>
        <v>34</v>
      </c>
      <c r="J145" s="15" t="s">
        <v>863</v>
      </c>
      <c r="K145" s="2" t="s">
        <v>825</v>
      </c>
      <c r="L145" s="15" t="s">
        <v>875</v>
      </c>
      <c r="N145" s="105">
        <f t="shared" si="5"/>
        <v>199</v>
      </c>
    </row>
    <row r="146" spans="1:14" ht="11.25">
      <c r="A146" s="49" t="s">
        <v>986</v>
      </c>
      <c r="B146" s="2">
        <v>8000</v>
      </c>
      <c r="C146" s="41" t="s">
        <v>787</v>
      </c>
      <c r="D146" s="2">
        <v>73</v>
      </c>
      <c r="E146" s="2">
        <v>73</v>
      </c>
      <c r="F146" s="15">
        <v>65</v>
      </c>
      <c r="G146" s="2" t="s">
        <v>99</v>
      </c>
      <c r="H146" s="2" t="s">
        <v>1071</v>
      </c>
      <c r="I146" s="2">
        <f t="shared" si="4"/>
        <v>36</v>
      </c>
      <c r="J146" s="15" t="s">
        <v>857</v>
      </c>
      <c r="K146" s="2" t="s">
        <v>885</v>
      </c>
      <c r="L146" s="106" t="s">
        <v>885</v>
      </c>
      <c r="N146" s="105">
        <f t="shared" si="5"/>
        <v>211</v>
      </c>
    </row>
    <row r="147" spans="1:14" ht="11.25">
      <c r="A147" s="49" t="s">
        <v>313</v>
      </c>
      <c r="B147" s="2">
        <v>9000</v>
      </c>
      <c r="C147" s="41" t="s">
        <v>788</v>
      </c>
      <c r="D147" s="2">
        <v>98</v>
      </c>
      <c r="E147" s="2">
        <v>34</v>
      </c>
      <c r="F147" s="15">
        <v>95</v>
      </c>
      <c r="G147" s="2" t="s">
        <v>703</v>
      </c>
      <c r="H147" s="2" t="s">
        <v>810</v>
      </c>
      <c r="I147" s="2">
        <f t="shared" si="4"/>
        <v>38</v>
      </c>
      <c r="J147" s="15" t="s">
        <v>861</v>
      </c>
      <c r="K147" s="2" t="s">
        <v>824</v>
      </c>
      <c r="L147" s="15" t="s">
        <v>882</v>
      </c>
      <c r="N147" s="105">
        <f t="shared" si="5"/>
        <v>227</v>
      </c>
    </row>
    <row r="148" spans="1:14" ht="11.25">
      <c r="A148" s="49" t="s">
        <v>314</v>
      </c>
      <c r="B148" s="2">
        <v>9000</v>
      </c>
      <c r="C148" s="41" t="s">
        <v>789</v>
      </c>
      <c r="D148" s="2">
        <v>89</v>
      </c>
      <c r="E148" s="2">
        <v>70</v>
      </c>
      <c r="F148" s="15">
        <v>70</v>
      </c>
      <c r="G148" s="2" t="s">
        <v>4</v>
      </c>
      <c r="H148" s="2" t="s">
        <v>1082</v>
      </c>
      <c r="I148" s="2">
        <f t="shared" si="4"/>
        <v>38</v>
      </c>
      <c r="J148" s="15" t="s">
        <v>867</v>
      </c>
      <c r="K148" s="2" t="s">
        <v>885</v>
      </c>
      <c r="L148" s="106" t="s">
        <v>885</v>
      </c>
      <c r="N148" s="105">
        <f t="shared" si="5"/>
        <v>229</v>
      </c>
    </row>
    <row r="149" spans="1:14" ht="11.25">
      <c r="A149" s="49" t="s">
        <v>1420</v>
      </c>
      <c r="B149" s="2">
        <v>9000</v>
      </c>
      <c r="C149" s="41" t="s">
        <v>790</v>
      </c>
      <c r="D149" s="2">
        <v>89</v>
      </c>
      <c r="E149" s="2">
        <v>93</v>
      </c>
      <c r="F149" s="15">
        <v>47</v>
      </c>
      <c r="G149" s="2" t="s">
        <v>703</v>
      </c>
      <c r="H149" s="2" t="s">
        <v>798</v>
      </c>
      <c r="I149" s="2">
        <f t="shared" si="4"/>
        <v>38</v>
      </c>
      <c r="J149" s="15" t="s">
        <v>844</v>
      </c>
      <c r="K149" s="2" t="s">
        <v>892</v>
      </c>
      <c r="L149" s="15" t="s">
        <v>893</v>
      </c>
      <c r="N149" s="105">
        <f t="shared" si="5"/>
        <v>229</v>
      </c>
    </row>
    <row r="150" spans="1:14" ht="11.25">
      <c r="A150" s="54" t="s">
        <v>315</v>
      </c>
      <c r="B150" s="2">
        <v>9000</v>
      </c>
      <c r="C150" s="41" t="s">
        <v>791</v>
      </c>
      <c r="D150" s="2">
        <v>92</v>
      </c>
      <c r="E150" s="2">
        <v>82</v>
      </c>
      <c r="F150" s="15">
        <v>76</v>
      </c>
      <c r="G150" s="2" t="s">
        <v>4</v>
      </c>
      <c r="H150" s="2" t="s">
        <v>1273</v>
      </c>
      <c r="I150" s="2">
        <f t="shared" si="4"/>
        <v>38</v>
      </c>
      <c r="J150" s="15" t="s">
        <v>869</v>
      </c>
      <c r="K150" s="2" t="s">
        <v>885</v>
      </c>
      <c r="L150" s="106" t="s">
        <v>885</v>
      </c>
      <c r="N150" s="105">
        <f t="shared" si="5"/>
        <v>250</v>
      </c>
    </row>
    <row r="151" spans="1:14" ht="11.25">
      <c r="A151" s="49" t="s">
        <v>1422</v>
      </c>
      <c r="B151" s="2">
        <v>9000</v>
      </c>
      <c r="C151" s="41" t="s">
        <v>792</v>
      </c>
      <c r="D151" s="2">
        <v>79</v>
      </c>
      <c r="E151" s="2">
        <v>102</v>
      </c>
      <c r="F151" s="15">
        <v>77</v>
      </c>
      <c r="G151" s="2" t="s">
        <v>704</v>
      </c>
      <c r="H151" s="2" t="s">
        <v>1191</v>
      </c>
      <c r="I151" s="2">
        <f t="shared" si="4"/>
        <v>38</v>
      </c>
      <c r="J151" s="15" t="s">
        <v>861</v>
      </c>
      <c r="K151" s="103" t="s">
        <v>826</v>
      </c>
      <c r="L151" s="15" t="s">
        <v>877</v>
      </c>
      <c r="N151" s="105">
        <f t="shared" si="5"/>
        <v>258</v>
      </c>
    </row>
    <row r="152" spans="1:14" ht="11.25">
      <c r="A152" s="64" t="s">
        <v>1424</v>
      </c>
      <c r="B152" s="2">
        <v>10000</v>
      </c>
      <c r="C152" s="41" t="s">
        <v>793</v>
      </c>
      <c r="D152" s="2">
        <v>77</v>
      </c>
      <c r="E152" s="2">
        <v>110</v>
      </c>
      <c r="F152" s="15">
        <v>32</v>
      </c>
      <c r="G152" s="2" t="s">
        <v>98</v>
      </c>
      <c r="H152" s="103" t="s">
        <v>802</v>
      </c>
      <c r="I152" s="2">
        <f t="shared" si="4"/>
        <v>40</v>
      </c>
      <c r="J152" s="15" t="s">
        <v>848</v>
      </c>
      <c r="K152" s="2" t="s">
        <v>880</v>
      </c>
      <c r="L152" s="15" t="s">
        <v>881</v>
      </c>
      <c r="N152" s="105">
        <f t="shared" si="5"/>
        <v>219</v>
      </c>
    </row>
    <row r="153" spans="1:14" ht="11.25">
      <c r="A153" s="54" t="s">
        <v>316</v>
      </c>
      <c r="B153" s="2">
        <v>10000</v>
      </c>
      <c r="C153" s="41" t="s">
        <v>794</v>
      </c>
      <c r="D153" s="2">
        <v>93</v>
      </c>
      <c r="E153" s="2">
        <v>114</v>
      </c>
      <c r="F153" s="15">
        <v>29</v>
      </c>
      <c r="G153" s="2" t="s">
        <v>704</v>
      </c>
      <c r="H153" s="2" t="s">
        <v>813</v>
      </c>
      <c r="I153" s="2">
        <f t="shared" si="4"/>
        <v>40</v>
      </c>
      <c r="J153" s="15" t="s">
        <v>852</v>
      </c>
      <c r="K153" s="103" t="s">
        <v>891</v>
      </c>
      <c r="L153" s="15" t="s">
        <v>1386</v>
      </c>
      <c r="N153" s="105">
        <f t="shared" si="5"/>
        <v>236</v>
      </c>
    </row>
    <row r="154" spans="1:14" ht="11.25">
      <c r="A154" s="49" t="s">
        <v>1511</v>
      </c>
      <c r="B154" s="2">
        <v>10000</v>
      </c>
      <c r="C154" s="41" t="s">
        <v>795</v>
      </c>
      <c r="D154" s="2">
        <v>89</v>
      </c>
      <c r="E154" s="2">
        <v>67</v>
      </c>
      <c r="F154" s="15">
        <v>83</v>
      </c>
      <c r="G154" s="2" t="s">
        <v>703</v>
      </c>
      <c r="H154" s="2" t="s">
        <v>1317</v>
      </c>
      <c r="I154" s="2">
        <f t="shared" si="4"/>
        <v>40</v>
      </c>
      <c r="J154" s="15" t="s">
        <v>852</v>
      </c>
      <c r="K154" s="2" t="s">
        <v>901</v>
      </c>
      <c r="L154" s="15" t="s">
        <v>900</v>
      </c>
      <c r="N154" s="105">
        <f t="shared" si="5"/>
        <v>239</v>
      </c>
    </row>
    <row r="155" spans="1:14" ht="11.25">
      <c r="A155" s="49" t="s">
        <v>317</v>
      </c>
      <c r="B155" s="2">
        <v>10000</v>
      </c>
      <c r="C155" s="41" t="s">
        <v>796</v>
      </c>
      <c r="D155" s="2">
        <v>96</v>
      </c>
      <c r="E155" s="2">
        <v>80</v>
      </c>
      <c r="F155" s="15">
        <v>77</v>
      </c>
      <c r="G155" s="2" t="s">
        <v>98</v>
      </c>
      <c r="H155" s="2" t="s">
        <v>816</v>
      </c>
      <c r="I155" s="2">
        <f t="shared" si="4"/>
        <v>40</v>
      </c>
      <c r="J155" s="15" t="s">
        <v>846</v>
      </c>
      <c r="K155" s="2" t="s">
        <v>904</v>
      </c>
      <c r="L155" s="15" t="s">
        <v>905</v>
      </c>
      <c r="N155" s="105">
        <f t="shared" si="5"/>
        <v>253</v>
      </c>
    </row>
    <row r="156" spans="1:14" ht="12" thickBot="1">
      <c r="A156" s="71" t="s">
        <v>1433</v>
      </c>
      <c r="B156" s="4">
        <v>10000</v>
      </c>
      <c r="C156" s="43" t="s">
        <v>797</v>
      </c>
      <c r="D156" s="4">
        <v>110</v>
      </c>
      <c r="E156" s="4">
        <v>83</v>
      </c>
      <c r="F156" s="14">
        <v>113</v>
      </c>
      <c r="G156" s="4" t="s">
        <v>705</v>
      </c>
      <c r="H156" s="4" t="s">
        <v>938</v>
      </c>
      <c r="I156" s="4">
        <f t="shared" si="4"/>
        <v>40</v>
      </c>
      <c r="J156" s="14" t="s">
        <v>908</v>
      </c>
      <c r="K156" s="4" t="s">
        <v>885</v>
      </c>
      <c r="L156" s="14" t="s">
        <v>885</v>
      </c>
      <c r="N156" s="105">
        <f t="shared" si="5"/>
        <v>306</v>
      </c>
    </row>
  </sheetData>
  <sheetProtection/>
  <autoFilter ref="A1:L156"/>
  <conditionalFormatting sqref="D2:F65536">
    <cfRule type="cellIs" priority="22" dxfId="12" operator="greaterThanOrEqual" stopIfTrue="1">
      <formula>100</formula>
    </cfRule>
    <cfRule type="cellIs" priority="23" dxfId="13" operator="between" stopIfTrue="1">
      <formula>90</formula>
      <formula>99</formula>
    </cfRule>
    <cfRule type="cellIs" priority="24" dxfId="14" operator="between" stopIfTrue="1">
      <formula>80</formula>
      <formula>89</formula>
    </cfRule>
  </conditionalFormatting>
  <conditionalFormatting sqref="D64:F66">
    <cfRule type="cellIs" priority="7" dxfId="12" operator="greaterThanOrEqual" stopIfTrue="1">
      <formula>100</formula>
    </cfRule>
    <cfRule type="cellIs" priority="8" dxfId="13" operator="between" stopIfTrue="1">
      <formula>90</formula>
      <formula>99</formula>
    </cfRule>
    <cfRule type="cellIs" priority="9" dxfId="14" operator="between" stopIfTrue="1">
      <formula>80</formula>
      <formula>89</formula>
    </cfRule>
  </conditionalFormatting>
  <conditionalFormatting sqref="D63:F63">
    <cfRule type="cellIs" priority="4" dxfId="12" operator="greaterThanOrEqual" stopIfTrue="1">
      <formula>100</formula>
    </cfRule>
    <cfRule type="cellIs" priority="5" dxfId="13" operator="between" stopIfTrue="1">
      <formula>90</formula>
      <formula>99</formula>
    </cfRule>
    <cfRule type="cellIs" priority="6" dxfId="14" operator="between" stopIfTrue="1">
      <formula>80</formula>
      <formula>89</formula>
    </cfRule>
  </conditionalFormatting>
  <conditionalFormatting sqref="D61:F61">
    <cfRule type="cellIs" priority="1" dxfId="12" operator="greaterThanOrEqual" stopIfTrue="1">
      <formula>100</formula>
    </cfRule>
    <cfRule type="cellIs" priority="2" dxfId="13" operator="between" stopIfTrue="1">
      <formula>90</formula>
      <formula>99</formula>
    </cfRule>
    <cfRule type="cellIs" priority="3" dxfId="14" operator="between" stopIfTrue="1">
      <formula>80</formula>
      <formula>89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52"/>
  <sheetViews>
    <sheetView zoomScalePageLayoutView="0" workbookViewId="0" topLeftCell="A1">
      <selection activeCell="J4" sqref="J4"/>
    </sheetView>
  </sheetViews>
  <sheetFormatPr defaultColWidth="11.421875" defaultRowHeight="15"/>
  <cols>
    <col min="1" max="1" width="23.8515625" style="1" bestFit="1" customWidth="1"/>
    <col min="2" max="2" width="15.140625" style="2" bestFit="1" customWidth="1"/>
    <col min="3" max="3" width="3.57421875" style="2" bestFit="1" customWidth="1"/>
    <col min="4" max="4" width="4.28125" style="2" bestFit="1" customWidth="1"/>
    <col min="5" max="5" width="25.421875" style="2" bestFit="1" customWidth="1"/>
    <col min="6" max="6" width="18.140625" style="2" bestFit="1" customWidth="1"/>
    <col min="7" max="7" width="6.7109375" style="2" bestFit="1" customWidth="1"/>
    <col min="8" max="8" width="6.140625" style="2" bestFit="1" customWidth="1"/>
    <col min="9" max="9" width="7.421875" style="2" bestFit="1" customWidth="1"/>
    <col min="10" max="10" width="6.7109375" style="1" customWidth="1"/>
    <col min="11" max="11" width="20.28125" style="2" bestFit="1" customWidth="1"/>
    <col min="12" max="12" width="7.140625" style="2" bestFit="1" customWidth="1"/>
    <col min="13" max="13" width="2.7109375" style="2" bestFit="1" customWidth="1"/>
    <col min="14" max="14" width="4.28125" style="2" bestFit="1" customWidth="1"/>
    <col min="15" max="15" width="15.8515625" style="2" bestFit="1" customWidth="1"/>
    <col min="16" max="16" width="6.7109375" style="2" bestFit="1" customWidth="1"/>
    <col min="17" max="17" width="5.28125" style="2" bestFit="1" customWidth="1"/>
    <col min="18" max="19" width="7.421875" style="2" bestFit="1" customWidth="1"/>
    <col min="20" max="20" width="5.7109375" style="2" bestFit="1" customWidth="1"/>
    <col min="21" max="16384" width="11.421875" style="1" customWidth="1"/>
  </cols>
  <sheetData>
    <row r="1" spans="1:20" ht="12" thickBot="1">
      <c r="A1" s="3" t="s">
        <v>13</v>
      </c>
      <c r="B1" s="4" t="s">
        <v>14</v>
      </c>
      <c r="C1" s="4" t="s">
        <v>15</v>
      </c>
      <c r="D1" s="4" t="s">
        <v>21</v>
      </c>
      <c r="E1" s="4" t="s">
        <v>16</v>
      </c>
      <c r="F1" s="4" t="s">
        <v>17</v>
      </c>
      <c r="G1" s="4" t="s">
        <v>27</v>
      </c>
      <c r="H1" s="4" t="s">
        <v>18</v>
      </c>
      <c r="I1" s="4" t="s">
        <v>23</v>
      </c>
      <c r="K1" s="4" t="s">
        <v>13</v>
      </c>
      <c r="L1" s="4" t="s">
        <v>14</v>
      </c>
      <c r="M1" s="4" t="s">
        <v>15</v>
      </c>
      <c r="N1" s="4" t="s">
        <v>21</v>
      </c>
      <c r="O1" s="4" t="s">
        <v>16</v>
      </c>
      <c r="P1" s="4" t="s">
        <v>27</v>
      </c>
      <c r="Q1" s="4" t="s">
        <v>18</v>
      </c>
      <c r="R1" s="4" t="s">
        <v>23</v>
      </c>
      <c r="S1" s="4" t="s">
        <v>1139</v>
      </c>
      <c r="T1" s="4" t="s">
        <v>477</v>
      </c>
    </row>
    <row r="2" spans="1:22" ht="11.25">
      <c r="A2" s="17" t="s">
        <v>481</v>
      </c>
      <c r="B2" s="18" t="s">
        <v>482</v>
      </c>
      <c r="C2" s="18">
        <v>0</v>
      </c>
      <c r="D2" s="18">
        <v>21</v>
      </c>
      <c r="E2" s="75" t="s">
        <v>489</v>
      </c>
      <c r="F2" s="18" t="s">
        <v>487</v>
      </c>
      <c r="G2" s="18">
        <v>8</v>
      </c>
      <c r="H2" s="18">
        <v>400</v>
      </c>
      <c r="I2" s="18"/>
      <c r="K2" s="45" t="s">
        <v>1011</v>
      </c>
      <c r="L2" s="2" t="s">
        <v>485</v>
      </c>
      <c r="M2" s="2">
        <v>12</v>
      </c>
      <c r="N2" s="2">
        <v>91</v>
      </c>
      <c r="O2" s="2" t="s">
        <v>950</v>
      </c>
      <c r="P2" s="2">
        <v>31</v>
      </c>
      <c r="Q2" s="2">
        <v>3750</v>
      </c>
      <c r="S2" s="2">
        <v>8000</v>
      </c>
      <c r="T2" s="2">
        <f aca="true" t="shared" si="0" ref="T2:T8">Q2-S2</f>
        <v>-4250</v>
      </c>
      <c r="U2" s="1" t="s">
        <v>26</v>
      </c>
      <c r="V2" s="1" t="str">
        <f>CONCATENATE(A2," (",B2,") : ",E2," (",F2,") / Lv ",C2," / Base : ",D2)</f>
        <v>Armure Peau de Porc (Armure) : Epreuve de Persée (Ocypète) / Lv 0 / Base : 21</v>
      </c>
    </row>
    <row r="3" spans="1:22" ht="11.25">
      <c r="A3" s="5" t="s">
        <v>490</v>
      </c>
      <c r="B3" s="6" t="s">
        <v>483</v>
      </c>
      <c r="C3" s="6">
        <v>4</v>
      </c>
      <c r="D3" s="6">
        <v>30</v>
      </c>
      <c r="E3" s="78" t="s">
        <v>489</v>
      </c>
      <c r="F3" s="6" t="s">
        <v>488</v>
      </c>
      <c r="G3" s="6">
        <v>10</v>
      </c>
      <c r="H3" s="6">
        <v>1500</v>
      </c>
      <c r="I3" s="6"/>
      <c r="K3" s="45" t="s">
        <v>505</v>
      </c>
      <c r="L3" s="2" t="s">
        <v>485</v>
      </c>
      <c r="M3" s="2">
        <v>21</v>
      </c>
      <c r="N3" s="2">
        <v>116</v>
      </c>
      <c r="O3" s="2" t="s">
        <v>950</v>
      </c>
      <c r="P3" s="2">
        <v>31</v>
      </c>
      <c r="Q3" s="2">
        <v>5250</v>
      </c>
      <c r="S3" s="2">
        <v>8000</v>
      </c>
      <c r="T3" s="2">
        <f t="shared" si="0"/>
        <v>-2750</v>
      </c>
      <c r="U3" s="1" t="s">
        <v>26</v>
      </c>
      <c r="V3" s="1" t="str">
        <f aca="true" t="shared" si="1" ref="V3:V66">CONCATENATE(A3," (",B3,") : ",E3," (",F3,") / Lv ",C3," / Base : ",D3)</f>
        <v>Lance Mammouth (Arme) : Epreuve de Persée (Stage Fini) / Lv 4 / Base : 30</v>
      </c>
    </row>
    <row r="4" spans="1:22" ht="11.25">
      <c r="A4" s="19" t="s">
        <v>491</v>
      </c>
      <c r="B4" s="20" t="s">
        <v>482</v>
      </c>
      <c r="C4" s="20">
        <v>12</v>
      </c>
      <c r="D4" s="20">
        <v>33</v>
      </c>
      <c r="E4" s="77" t="s">
        <v>498</v>
      </c>
      <c r="F4" s="20" t="s">
        <v>492</v>
      </c>
      <c r="G4" s="20">
        <v>8</v>
      </c>
      <c r="H4" s="20">
        <v>1500</v>
      </c>
      <c r="I4" s="20"/>
      <c r="K4" s="46" t="s">
        <v>1196</v>
      </c>
      <c r="L4" s="2" t="s">
        <v>485</v>
      </c>
      <c r="M4" s="2">
        <v>21</v>
      </c>
      <c r="N4" s="2">
        <v>123</v>
      </c>
      <c r="O4" s="2" t="s">
        <v>950</v>
      </c>
      <c r="P4" s="2">
        <v>38</v>
      </c>
      <c r="Q4" s="2">
        <v>7000</v>
      </c>
      <c r="S4" s="2">
        <v>8000</v>
      </c>
      <c r="T4" s="2">
        <f t="shared" si="0"/>
        <v>-1000</v>
      </c>
      <c r="U4" s="1" t="s">
        <v>26</v>
      </c>
      <c r="V4" s="1" t="str">
        <f t="shared" si="1"/>
        <v>Armure de Cuivre (Armure) : Guerre de Troie (Ménélas) / Lv 12 / Base : 33</v>
      </c>
    </row>
    <row r="5" spans="1:22" ht="11.25">
      <c r="A5" s="21" t="s">
        <v>493</v>
      </c>
      <c r="B5" s="7" t="s">
        <v>483</v>
      </c>
      <c r="C5" s="7">
        <v>12</v>
      </c>
      <c r="D5" s="7">
        <v>43</v>
      </c>
      <c r="E5" s="78" t="s">
        <v>498</v>
      </c>
      <c r="F5" s="7" t="s">
        <v>494</v>
      </c>
      <c r="G5" s="7">
        <v>13</v>
      </c>
      <c r="H5" s="7">
        <v>3750</v>
      </c>
      <c r="I5" s="7"/>
      <c r="K5" s="45" t="s">
        <v>807</v>
      </c>
      <c r="L5" s="2" t="s">
        <v>485</v>
      </c>
      <c r="M5" s="2">
        <v>29</v>
      </c>
      <c r="N5" s="2">
        <v>141</v>
      </c>
      <c r="O5" s="2" t="s">
        <v>950</v>
      </c>
      <c r="P5" s="2">
        <v>31</v>
      </c>
      <c r="Q5" s="2">
        <v>6750</v>
      </c>
      <c r="S5" s="2">
        <v>8000</v>
      </c>
      <c r="T5" s="2">
        <f t="shared" si="0"/>
        <v>-1250</v>
      </c>
      <c r="U5" s="1" t="s">
        <v>26</v>
      </c>
      <c r="V5" s="1" t="str">
        <f t="shared" si="1"/>
        <v>Epée des Remords (Arme) : Guerre de Troie (Ajax le grand) / Lv 12 / Base : 43</v>
      </c>
    </row>
    <row r="6" spans="1:22" ht="11.25">
      <c r="A6" s="21" t="s">
        <v>496</v>
      </c>
      <c r="B6" s="7" t="s">
        <v>483</v>
      </c>
      <c r="C6" s="7">
        <v>17</v>
      </c>
      <c r="D6" s="7">
        <v>48</v>
      </c>
      <c r="E6" s="78" t="s">
        <v>498</v>
      </c>
      <c r="F6" s="7" t="s">
        <v>495</v>
      </c>
      <c r="G6" s="7">
        <v>13</v>
      </c>
      <c r="H6" s="7">
        <v>4500</v>
      </c>
      <c r="I6" s="7"/>
      <c r="K6" s="51" t="s">
        <v>1211</v>
      </c>
      <c r="L6" s="6" t="s">
        <v>485</v>
      </c>
      <c r="M6" s="6">
        <v>29</v>
      </c>
      <c r="N6" s="6">
        <v>148</v>
      </c>
      <c r="O6" s="6" t="s">
        <v>950</v>
      </c>
      <c r="P6" s="6">
        <v>38</v>
      </c>
      <c r="Q6" s="6">
        <v>9000</v>
      </c>
      <c r="R6" s="6"/>
      <c r="S6" s="6">
        <v>8000</v>
      </c>
      <c r="T6" s="6">
        <f t="shared" si="0"/>
        <v>1000</v>
      </c>
      <c r="U6" s="1" t="s">
        <v>26</v>
      </c>
      <c r="V6" s="1" t="str">
        <f t="shared" si="1"/>
        <v>Epée de Goujian (Arme) : Guerre de Troie (Perséphone) / Lv 17 / Base : 48</v>
      </c>
    </row>
    <row r="7" spans="1:22" ht="11.25">
      <c r="A7" s="21" t="s">
        <v>497</v>
      </c>
      <c r="B7" s="7" t="s">
        <v>483</v>
      </c>
      <c r="C7" s="7">
        <v>19</v>
      </c>
      <c r="D7" s="7">
        <v>51</v>
      </c>
      <c r="E7" s="78" t="s">
        <v>498</v>
      </c>
      <c r="F7" s="7" t="s">
        <v>22</v>
      </c>
      <c r="G7" s="7">
        <v>13</v>
      </c>
      <c r="H7" s="7">
        <v>4950</v>
      </c>
      <c r="I7" s="7"/>
      <c r="K7" s="45" t="s">
        <v>1312</v>
      </c>
      <c r="L7" s="2" t="s">
        <v>485</v>
      </c>
      <c r="M7" s="2">
        <v>38</v>
      </c>
      <c r="N7" s="2">
        <v>166</v>
      </c>
      <c r="O7" s="2" t="s">
        <v>1318</v>
      </c>
      <c r="P7" s="2">
        <v>31</v>
      </c>
      <c r="Q7" s="2">
        <v>8250</v>
      </c>
      <c r="S7" s="2">
        <v>11000</v>
      </c>
      <c r="T7" s="2">
        <f t="shared" si="0"/>
        <v>-2750</v>
      </c>
      <c r="U7" s="1" t="s">
        <v>26</v>
      </c>
      <c r="V7" s="1" t="str">
        <f t="shared" si="1"/>
        <v>Epée d'Acier Damassé (Arme) : Guerre de Troie (Legion) / Lv 19 / Base : 51</v>
      </c>
    </row>
    <row r="8" spans="1:22" ht="11.25">
      <c r="A8" s="21" t="s">
        <v>493</v>
      </c>
      <c r="B8" s="7" t="s">
        <v>483</v>
      </c>
      <c r="C8" s="7">
        <v>12</v>
      </c>
      <c r="D8" s="7">
        <v>43</v>
      </c>
      <c r="E8" s="78" t="s">
        <v>498</v>
      </c>
      <c r="F8" s="7" t="s">
        <v>488</v>
      </c>
      <c r="G8" s="7">
        <v>13</v>
      </c>
      <c r="H8" s="7">
        <v>3750</v>
      </c>
      <c r="I8" s="7"/>
      <c r="K8" s="46" t="s">
        <v>1213</v>
      </c>
      <c r="L8" s="2" t="s">
        <v>485</v>
      </c>
      <c r="M8" s="2">
        <v>38</v>
      </c>
      <c r="N8" s="2">
        <v>173</v>
      </c>
      <c r="O8" s="2" t="s">
        <v>1318</v>
      </c>
      <c r="P8" s="2">
        <v>38</v>
      </c>
      <c r="Q8" s="2">
        <v>11000</v>
      </c>
      <c r="S8" s="2">
        <v>11000</v>
      </c>
      <c r="T8" s="2">
        <f t="shared" si="0"/>
        <v>0</v>
      </c>
      <c r="U8" s="1" t="s">
        <v>26</v>
      </c>
      <c r="V8" s="1" t="str">
        <f t="shared" si="1"/>
        <v>Epée des Remords (Arme) : Guerre de Troie (Stage Fini) / Lv 12 / Base : 43</v>
      </c>
    </row>
    <row r="9" spans="1:22" ht="11.25">
      <c r="A9" s="24" t="s">
        <v>500</v>
      </c>
      <c r="B9" s="20" t="s">
        <v>483</v>
      </c>
      <c r="C9" s="20">
        <v>22</v>
      </c>
      <c r="D9" s="20">
        <v>55</v>
      </c>
      <c r="E9" s="77" t="s">
        <v>499</v>
      </c>
      <c r="F9" s="20" t="s">
        <v>501</v>
      </c>
      <c r="G9" s="20">
        <v>13</v>
      </c>
      <c r="H9" s="20">
        <v>5550</v>
      </c>
      <c r="I9" s="20"/>
      <c r="K9" s="48" t="s">
        <v>1007</v>
      </c>
      <c r="L9" s="2" t="s">
        <v>485</v>
      </c>
      <c r="M9" s="2">
        <v>38</v>
      </c>
      <c r="N9" s="2">
        <v>183</v>
      </c>
      <c r="O9" s="2" t="s">
        <v>1318</v>
      </c>
      <c r="P9" s="2">
        <v>48</v>
      </c>
      <c r="Q9" s="2">
        <v>16500</v>
      </c>
      <c r="R9" s="2">
        <v>5</v>
      </c>
      <c r="S9" s="2">
        <v>11000</v>
      </c>
      <c r="T9" s="2">
        <f>(Q9/R9)-S9</f>
        <v>-7700</v>
      </c>
      <c r="U9" s="1" t="s">
        <v>26</v>
      </c>
      <c r="V9" s="1" t="str">
        <f t="shared" si="1"/>
        <v>Hache Hantée (Arme) : Défense d'Athènes (Polynices) / Lv 22 / Base : 55</v>
      </c>
    </row>
    <row r="10" spans="1:22" ht="11.25">
      <c r="A10" s="21" t="s">
        <v>502</v>
      </c>
      <c r="B10" s="7" t="s">
        <v>483</v>
      </c>
      <c r="C10" s="7">
        <v>21</v>
      </c>
      <c r="D10" s="7">
        <v>53</v>
      </c>
      <c r="E10" s="78" t="s">
        <v>499</v>
      </c>
      <c r="F10" s="7" t="s">
        <v>503</v>
      </c>
      <c r="G10" s="7">
        <v>13</v>
      </c>
      <c r="H10" s="7">
        <v>5250</v>
      </c>
      <c r="I10" s="7"/>
      <c r="K10" s="45" t="s">
        <v>1212</v>
      </c>
      <c r="L10" s="2" t="s">
        <v>485</v>
      </c>
      <c r="M10" s="2">
        <v>46</v>
      </c>
      <c r="N10" s="2">
        <v>191</v>
      </c>
      <c r="O10" s="2" t="s">
        <v>1318</v>
      </c>
      <c r="P10" s="2">
        <v>31</v>
      </c>
      <c r="Q10" s="2">
        <v>9750</v>
      </c>
      <c r="S10" s="2">
        <v>11000</v>
      </c>
      <c r="T10" s="2">
        <f>Q10-S10</f>
        <v>-1250</v>
      </c>
      <c r="U10" s="1" t="s">
        <v>26</v>
      </c>
      <c r="V10" s="1" t="str">
        <f t="shared" si="1"/>
        <v>Shamshir (Arme) : Défense d'Athènes (Polybus) / Lv 21 / Base : 53</v>
      </c>
    </row>
    <row r="11" spans="1:22" ht="11.25">
      <c r="A11" s="21" t="s">
        <v>504</v>
      </c>
      <c r="B11" s="7" t="s">
        <v>482</v>
      </c>
      <c r="C11" s="7">
        <v>21</v>
      </c>
      <c r="D11" s="7">
        <v>42</v>
      </c>
      <c r="E11" s="78" t="s">
        <v>499</v>
      </c>
      <c r="F11" s="7" t="s">
        <v>22</v>
      </c>
      <c r="G11" s="7">
        <v>10</v>
      </c>
      <c r="H11" s="7">
        <v>5250</v>
      </c>
      <c r="I11" s="7"/>
      <c r="K11" s="46" t="s">
        <v>1210</v>
      </c>
      <c r="L11" s="2" t="s">
        <v>485</v>
      </c>
      <c r="M11" s="2">
        <v>46</v>
      </c>
      <c r="N11" s="2">
        <v>198</v>
      </c>
      <c r="O11" s="2" t="s">
        <v>1318</v>
      </c>
      <c r="P11" s="2">
        <v>38</v>
      </c>
      <c r="Q11" s="2">
        <v>13000</v>
      </c>
      <c r="S11" s="2">
        <v>11000</v>
      </c>
      <c r="T11" s="2">
        <f>Q11-S11</f>
        <v>2000</v>
      </c>
      <c r="U11" s="1" t="s">
        <v>26</v>
      </c>
      <c r="V11" s="1" t="str">
        <f t="shared" si="1"/>
        <v>Armure Ensanglantée (Armure) : Défense d'Athènes (Legion) / Lv 21 / Base : 42</v>
      </c>
    </row>
    <row r="12" spans="1:22" ht="11.25">
      <c r="A12" s="22" t="s">
        <v>505</v>
      </c>
      <c r="B12" s="6" t="s">
        <v>485</v>
      </c>
      <c r="C12" s="6">
        <v>21</v>
      </c>
      <c r="D12" s="6">
        <v>116</v>
      </c>
      <c r="E12" s="78" t="s">
        <v>499</v>
      </c>
      <c r="F12" s="6" t="s">
        <v>488</v>
      </c>
      <c r="G12" s="6">
        <v>31</v>
      </c>
      <c r="H12" s="6">
        <v>5250</v>
      </c>
      <c r="I12" s="6"/>
      <c r="K12" s="52" t="s">
        <v>1260</v>
      </c>
      <c r="L12" s="6" t="s">
        <v>485</v>
      </c>
      <c r="M12" s="6">
        <v>46</v>
      </c>
      <c r="N12" s="6">
        <v>208</v>
      </c>
      <c r="O12" s="6" t="s">
        <v>1318</v>
      </c>
      <c r="P12" s="6">
        <v>48</v>
      </c>
      <c r="Q12" s="6">
        <v>19500</v>
      </c>
      <c r="R12" s="6"/>
      <c r="S12" s="6">
        <v>11000</v>
      </c>
      <c r="T12" s="6">
        <f>Q12-S12</f>
        <v>8500</v>
      </c>
      <c r="U12" s="1" t="s">
        <v>26</v>
      </c>
      <c r="V12" s="1" t="str">
        <f t="shared" si="1"/>
        <v>Eléphant de Pharaon (Cheval) : Défense d'Athènes (Stage Fini) / Lv 21 / Base : 116</v>
      </c>
    </row>
    <row r="13" spans="1:22" ht="11.25">
      <c r="A13" s="24" t="s">
        <v>507</v>
      </c>
      <c r="B13" s="20" t="s">
        <v>483</v>
      </c>
      <c r="C13" s="20">
        <v>25</v>
      </c>
      <c r="D13" s="20">
        <v>58</v>
      </c>
      <c r="E13" s="77" t="s">
        <v>506</v>
      </c>
      <c r="F13" s="20" t="s">
        <v>487</v>
      </c>
      <c r="G13" s="20">
        <v>13</v>
      </c>
      <c r="H13" s="20">
        <v>6000</v>
      </c>
      <c r="I13" s="20"/>
      <c r="K13" s="45" t="s">
        <v>1471</v>
      </c>
      <c r="L13" s="2" t="s">
        <v>485</v>
      </c>
      <c r="M13" s="2">
        <v>55</v>
      </c>
      <c r="N13" s="2">
        <v>216</v>
      </c>
      <c r="O13" s="2" t="s">
        <v>1345</v>
      </c>
      <c r="P13" s="2">
        <v>31</v>
      </c>
      <c r="Q13" s="2">
        <v>11250</v>
      </c>
      <c r="S13" s="2">
        <v>25000</v>
      </c>
      <c r="T13" s="2">
        <f>Q13-S13</f>
        <v>-13750</v>
      </c>
      <c r="U13" s="1" t="s">
        <v>26</v>
      </c>
      <c r="V13" s="1" t="str">
        <f t="shared" si="1"/>
        <v>Double Hache Barbare (Arme) : Bêtes du Désert (Ocypète) / Lv 25 / Base : 58</v>
      </c>
    </row>
    <row r="14" spans="1:22" ht="11.25">
      <c r="A14" s="21" t="s">
        <v>508</v>
      </c>
      <c r="B14" s="7" t="s">
        <v>482</v>
      </c>
      <c r="C14" s="7">
        <v>23</v>
      </c>
      <c r="D14" s="7">
        <v>44</v>
      </c>
      <c r="E14" s="78" t="s">
        <v>506</v>
      </c>
      <c r="F14" s="7" t="s">
        <v>509</v>
      </c>
      <c r="G14" s="7">
        <v>10</v>
      </c>
      <c r="H14" s="7">
        <v>5700</v>
      </c>
      <c r="I14" s="7"/>
      <c r="K14" s="46" t="s">
        <v>1350</v>
      </c>
      <c r="L14" s="2" t="s">
        <v>485</v>
      </c>
      <c r="M14" s="2">
        <v>55</v>
      </c>
      <c r="N14" s="2">
        <v>223</v>
      </c>
      <c r="O14" s="2" t="s">
        <v>1345</v>
      </c>
      <c r="P14" s="2">
        <v>38</v>
      </c>
      <c r="Q14" s="2">
        <v>15000</v>
      </c>
      <c r="S14" s="2">
        <v>25000</v>
      </c>
      <c r="T14" s="2">
        <f>Q14-S14</f>
        <v>-10000</v>
      </c>
      <c r="U14" s="1" t="s">
        <v>26</v>
      </c>
      <c r="V14" s="1" t="str">
        <f t="shared" si="1"/>
        <v>Détermination de Jeune Fille (Armure) : Bêtes du Désert (Typhon) / Lv 23 / Base : 44</v>
      </c>
    </row>
    <row r="15" spans="1:22" ht="11.25">
      <c r="A15" s="23" t="s">
        <v>510</v>
      </c>
      <c r="B15" s="7" t="s">
        <v>483</v>
      </c>
      <c r="C15" s="7">
        <v>21</v>
      </c>
      <c r="D15" s="7">
        <v>56</v>
      </c>
      <c r="E15" s="78" t="s">
        <v>506</v>
      </c>
      <c r="F15" s="7" t="s">
        <v>511</v>
      </c>
      <c r="G15" s="7">
        <v>16</v>
      </c>
      <c r="H15" s="7">
        <v>7000</v>
      </c>
      <c r="I15" s="7">
        <v>2</v>
      </c>
      <c r="K15" s="48" t="s">
        <v>1379</v>
      </c>
      <c r="L15" s="2" t="s">
        <v>485</v>
      </c>
      <c r="M15" s="2">
        <v>55</v>
      </c>
      <c r="N15" s="2">
        <v>233</v>
      </c>
      <c r="O15" s="2" t="s">
        <v>1345</v>
      </c>
      <c r="P15" s="2">
        <v>48</v>
      </c>
      <c r="Q15" s="2">
        <v>22500</v>
      </c>
      <c r="S15" s="2">
        <v>25000</v>
      </c>
      <c r="T15" s="2">
        <f aca="true" t="shared" si="2" ref="T15:T20">Q15-S15</f>
        <v>-2500</v>
      </c>
      <c r="V15" s="1" t="str">
        <f t="shared" si="1"/>
        <v>Epée de Cyclope (Arme) : Bêtes du Désert (Circé) / Lv 21 / Base : 56</v>
      </c>
    </row>
    <row r="16" spans="1:22" ht="11.25">
      <c r="A16" s="23" t="s">
        <v>512</v>
      </c>
      <c r="B16" s="7" t="s">
        <v>482</v>
      </c>
      <c r="C16" s="7">
        <v>25</v>
      </c>
      <c r="D16" s="7">
        <v>48</v>
      </c>
      <c r="E16" s="78" t="s">
        <v>506</v>
      </c>
      <c r="F16" s="7" t="s">
        <v>22</v>
      </c>
      <c r="G16" s="7">
        <v>12</v>
      </c>
      <c r="H16" s="7">
        <v>8000</v>
      </c>
      <c r="I16" s="7">
        <v>2</v>
      </c>
      <c r="K16" s="53" t="s">
        <v>1088</v>
      </c>
      <c r="L16" s="2" t="s">
        <v>485</v>
      </c>
      <c r="M16" s="2">
        <v>55</v>
      </c>
      <c r="N16" s="2">
        <v>243</v>
      </c>
      <c r="O16" s="2" t="s">
        <v>1345</v>
      </c>
      <c r="P16" s="2">
        <v>58</v>
      </c>
      <c r="Q16" s="2">
        <v>37500</v>
      </c>
      <c r="R16" s="2">
        <v>10</v>
      </c>
      <c r="S16" s="2">
        <v>25000</v>
      </c>
      <c r="T16" s="2">
        <f>(Q16/R16)-S16</f>
        <v>-21250</v>
      </c>
      <c r="U16" s="1" t="s">
        <v>26</v>
      </c>
      <c r="V16" s="1" t="str">
        <f t="shared" si="1"/>
        <v>Armure du Triomphe (Armure) : Bêtes du Désert (Legion) / Lv 25 / Base : 48</v>
      </c>
    </row>
    <row r="17" spans="1:22" ht="11.25">
      <c r="A17" s="22" t="s">
        <v>625</v>
      </c>
      <c r="B17" s="6" t="s">
        <v>951</v>
      </c>
      <c r="C17" s="6">
        <v>21</v>
      </c>
      <c r="D17" s="6">
        <v>76</v>
      </c>
      <c r="E17" s="78" t="s">
        <v>506</v>
      </c>
      <c r="F17" s="6" t="s">
        <v>488</v>
      </c>
      <c r="G17" s="6">
        <v>21</v>
      </c>
      <c r="H17" s="6">
        <v>5250</v>
      </c>
      <c r="I17" s="6"/>
      <c r="K17" s="45" t="s">
        <v>1217</v>
      </c>
      <c r="L17" s="2" t="s">
        <v>485</v>
      </c>
      <c r="M17" s="2">
        <v>63</v>
      </c>
      <c r="N17" s="2">
        <v>241</v>
      </c>
      <c r="O17" s="2" t="s">
        <v>1345</v>
      </c>
      <c r="P17" s="2">
        <v>31</v>
      </c>
      <c r="Q17" s="2">
        <v>12750</v>
      </c>
      <c r="S17" s="2">
        <v>25000</v>
      </c>
      <c r="T17" s="2">
        <f t="shared" si="2"/>
        <v>-12250</v>
      </c>
      <c r="U17" s="1" t="s">
        <v>26</v>
      </c>
      <c r="V17" s="1" t="str">
        <f t="shared" si="1"/>
        <v>Manteau Gris Magique (Manteau) : Bêtes du Désert (Stage Fini) / Lv 21 / Base : 76</v>
      </c>
    </row>
    <row r="18" spans="1:22" ht="11.25">
      <c r="A18" s="24" t="s">
        <v>515</v>
      </c>
      <c r="B18" s="20" t="s">
        <v>483</v>
      </c>
      <c r="C18" s="20">
        <v>29</v>
      </c>
      <c r="D18" s="20">
        <v>63</v>
      </c>
      <c r="E18" s="79" t="s">
        <v>513</v>
      </c>
      <c r="F18" s="20" t="s">
        <v>516</v>
      </c>
      <c r="G18" s="20">
        <v>13</v>
      </c>
      <c r="H18" s="20">
        <v>6750</v>
      </c>
      <c r="I18" s="20"/>
      <c r="K18" s="46" t="s">
        <v>1612</v>
      </c>
      <c r="L18" s="2" t="s">
        <v>485</v>
      </c>
      <c r="M18" s="2">
        <v>63</v>
      </c>
      <c r="N18" s="2">
        <v>248</v>
      </c>
      <c r="O18" s="2" t="s">
        <v>1345</v>
      </c>
      <c r="P18" s="2">
        <v>38</v>
      </c>
      <c r="Q18" s="2">
        <v>17000</v>
      </c>
      <c r="S18" s="2">
        <v>25000</v>
      </c>
      <c r="T18" s="2">
        <f t="shared" si="2"/>
        <v>-8000</v>
      </c>
      <c r="V18" s="1" t="str">
        <f t="shared" si="1"/>
        <v>Flèche Empoisonnée (Arme) : Labyrinthe de Crète (Pasiphaé) / Lv 29 / Base : 63</v>
      </c>
    </row>
    <row r="19" spans="1:22" ht="11.25">
      <c r="A19" s="21" t="s">
        <v>517</v>
      </c>
      <c r="B19" s="7" t="s">
        <v>482</v>
      </c>
      <c r="C19" s="7">
        <v>29</v>
      </c>
      <c r="D19" s="7">
        <v>50</v>
      </c>
      <c r="E19" s="80" t="s">
        <v>513</v>
      </c>
      <c r="F19" s="7" t="s">
        <v>518</v>
      </c>
      <c r="G19" s="7">
        <v>10</v>
      </c>
      <c r="H19" s="7">
        <v>6750</v>
      </c>
      <c r="I19" s="7"/>
      <c r="K19" s="59" t="s">
        <v>1380</v>
      </c>
      <c r="L19" s="7" t="s">
        <v>485</v>
      </c>
      <c r="M19" s="7">
        <v>63</v>
      </c>
      <c r="N19" s="7">
        <v>258</v>
      </c>
      <c r="O19" s="2" t="s">
        <v>1345</v>
      </c>
      <c r="P19" s="7">
        <v>48</v>
      </c>
      <c r="Q19" s="7">
        <v>25500</v>
      </c>
      <c r="R19" s="7"/>
      <c r="S19" s="2">
        <v>25000</v>
      </c>
      <c r="T19" s="2">
        <f t="shared" si="2"/>
        <v>500</v>
      </c>
      <c r="U19" s="1" t="s">
        <v>26</v>
      </c>
      <c r="V19" s="1" t="str">
        <f t="shared" si="1"/>
        <v>Armure d'Hadès (Armure) : Labyrinthe de Crète (Thésée) / Lv 29 / Base : 50</v>
      </c>
    </row>
    <row r="20" spans="1:22" ht="11.25">
      <c r="A20" s="21" t="s">
        <v>519</v>
      </c>
      <c r="B20" s="7" t="s">
        <v>482</v>
      </c>
      <c r="C20" s="7">
        <v>25</v>
      </c>
      <c r="D20" s="7">
        <v>46</v>
      </c>
      <c r="E20" s="80" t="s">
        <v>513</v>
      </c>
      <c r="F20" s="7" t="s">
        <v>22</v>
      </c>
      <c r="G20" s="7">
        <v>10</v>
      </c>
      <c r="H20" s="7">
        <v>6000</v>
      </c>
      <c r="I20" s="7"/>
      <c r="K20" s="58" t="s">
        <v>1297</v>
      </c>
      <c r="L20" s="6" t="s">
        <v>485</v>
      </c>
      <c r="M20" s="6">
        <v>63</v>
      </c>
      <c r="N20" s="6">
        <v>268</v>
      </c>
      <c r="O20" s="6" t="s">
        <v>1345</v>
      </c>
      <c r="P20" s="6">
        <v>58</v>
      </c>
      <c r="Q20" s="6"/>
      <c r="R20" s="6"/>
      <c r="S20" s="6">
        <v>25000</v>
      </c>
      <c r="T20" s="6">
        <f t="shared" si="2"/>
        <v>-25000</v>
      </c>
      <c r="U20" s="1" t="s">
        <v>26</v>
      </c>
      <c r="V20" s="1" t="str">
        <f t="shared" si="1"/>
        <v>Armure Raffinée (Armure) : Labyrinthe de Crète (Legion) / Lv 25 / Base : 46</v>
      </c>
    </row>
    <row r="21" spans="1:22" ht="11.25">
      <c r="A21" s="25" t="s">
        <v>841</v>
      </c>
      <c r="B21" s="6" t="s">
        <v>482</v>
      </c>
      <c r="C21" s="6">
        <v>29</v>
      </c>
      <c r="D21" s="6">
        <v>52</v>
      </c>
      <c r="E21" s="81" t="s">
        <v>513</v>
      </c>
      <c r="F21" s="6" t="s">
        <v>488</v>
      </c>
      <c r="G21" s="6">
        <v>12</v>
      </c>
      <c r="H21" s="6">
        <v>9000</v>
      </c>
      <c r="I21" s="6"/>
      <c r="K21" s="62" t="s">
        <v>1617</v>
      </c>
      <c r="L21" s="7" t="s">
        <v>485</v>
      </c>
      <c r="M21" s="7">
        <v>72</v>
      </c>
      <c r="N21" s="7">
        <v>235</v>
      </c>
      <c r="O21" s="7" t="s">
        <v>1319</v>
      </c>
      <c r="P21" s="7">
        <v>31</v>
      </c>
      <c r="Q21" s="7">
        <v>14250</v>
      </c>
      <c r="R21" s="7"/>
      <c r="S21" s="2">
        <v>40000</v>
      </c>
      <c r="T21" s="2">
        <f aca="true" t="shared" si="3" ref="T21:T26">Q21-S21</f>
        <v>-25750</v>
      </c>
      <c r="V21" s="1" t="str">
        <f t="shared" si="1"/>
        <v>Armure Barbare (Armure) : Labyrinthe de Crète (Stage Fini) / Lv 29 / Base : 52</v>
      </c>
    </row>
    <row r="22" spans="1:22" ht="11.25" customHeight="1">
      <c r="A22" s="24" t="s">
        <v>679</v>
      </c>
      <c r="B22" s="20" t="s">
        <v>482</v>
      </c>
      <c r="C22" s="20">
        <v>31</v>
      </c>
      <c r="D22" s="20">
        <v>51</v>
      </c>
      <c r="E22" s="79" t="s">
        <v>514</v>
      </c>
      <c r="F22" s="20" t="s">
        <v>838</v>
      </c>
      <c r="G22" s="20">
        <v>10</v>
      </c>
      <c r="H22" s="20">
        <v>7050</v>
      </c>
      <c r="I22" s="20"/>
      <c r="K22" s="48" t="s">
        <v>1259</v>
      </c>
      <c r="L22" s="2" t="s">
        <v>485</v>
      </c>
      <c r="M22" s="2">
        <v>72</v>
      </c>
      <c r="N22" s="2">
        <v>283</v>
      </c>
      <c r="O22" s="7" t="s">
        <v>1319</v>
      </c>
      <c r="P22" s="2">
        <v>48</v>
      </c>
      <c r="Q22" s="2">
        <v>28500</v>
      </c>
      <c r="S22" s="2">
        <v>40000</v>
      </c>
      <c r="T22" s="2">
        <f t="shared" si="3"/>
        <v>-11500</v>
      </c>
      <c r="U22" s="1" t="s">
        <v>26</v>
      </c>
      <c r="V22" s="1" t="str">
        <f t="shared" si="1"/>
        <v>Armure de Platon (Armure) : Jacques et le Haricot Magique (Céléno) / Lv 31 / Base : 51</v>
      </c>
    </row>
    <row r="23" spans="1:22" ht="11.25">
      <c r="A23" s="23" t="s">
        <v>835</v>
      </c>
      <c r="B23" s="7" t="s">
        <v>483</v>
      </c>
      <c r="C23" s="7">
        <v>29</v>
      </c>
      <c r="D23" s="7">
        <v>66</v>
      </c>
      <c r="E23" s="80" t="s">
        <v>514</v>
      </c>
      <c r="F23" s="7" t="s">
        <v>839</v>
      </c>
      <c r="G23" s="7">
        <v>16</v>
      </c>
      <c r="H23" s="7">
        <v>9000</v>
      </c>
      <c r="I23" s="7">
        <v>2</v>
      </c>
      <c r="K23" s="53" t="s">
        <v>1378</v>
      </c>
      <c r="L23" s="2" t="s">
        <v>485</v>
      </c>
      <c r="M23" s="2">
        <v>72</v>
      </c>
      <c r="N23" s="2">
        <v>293</v>
      </c>
      <c r="O23" s="7" t="s">
        <v>1319</v>
      </c>
      <c r="P23" s="2">
        <v>58</v>
      </c>
      <c r="S23" s="2">
        <v>40000</v>
      </c>
      <c r="T23" s="2">
        <f t="shared" si="3"/>
        <v>-40000</v>
      </c>
      <c r="V23" s="1" t="str">
        <f t="shared" si="1"/>
        <v>Dague Empoisonnée (Arme) : Jacques et le Haricot Magique (Sterope) / Lv 29 / Base : 66</v>
      </c>
    </row>
    <row r="24" spans="1:22" ht="11.25">
      <c r="A24" s="26" t="s">
        <v>836</v>
      </c>
      <c r="B24" s="7" t="s">
        <v>483</v>
      </c>
      <c r="C24" s="7">
        <v>29</v>
      </c>
      <c r="D24" s="7">
        <v>70</v>
      </c>
      <c r="E24" s="80" t="s">
        <v>514</v>
      </c>
      <c r="F24" s="7" t="s">
        <v>840</v>
      </c>
      <c r="G24" s="7">
        <v>20</v>
      </c>
      <c r="H24" s="7">
        <v>13500</v>
      </c>
      <c r="I24" s="7">
        <v>5</v>
      </c>
      <c r="K24" s="61" t="s">
        <v>1320</v>
      </c>
      <c r="L24" s="7" t="s">
        <v>485</v>
      </c>
      <c r="M24" s="7">
        <v>80</v>
      </c>
      <c r="N24" s="7">
        <v>298</v>
      </c>
      <c r="O24" s="7" t="s">
        <v>1319</v>
      </c>
      <c r="P24" s="7">
        <v>38</v>
      </c>
      <c r="Q24" s="7">
        <v>21000</v>
      </c>
      <c r="R24" s="7"/>
      <c r="S24" s="2">
        <v>40000</v>
      </c>
      <c r="T24" s="2">
        <f t="shared" si="3"/>
        <v>-19000</v>
      </c>
      <c r="U24" s="1" t="s">
        <v>26</v>
      </c>
      <c r="V24" s="1" t="str">
        <f t="shared" si="1"/>
        <v>Flambeau de l'Immortalité (Arme) : Jacques et le Haricot Magique (Galatos) / Lv 29 / Base : 70</v>
      </c>
    </row>
    <row r="25" spans="1:22" ht="11.25">
      <c r="A25" s="23" t="s">
        <v>841</v>
      </c>
      <c r="B25" s="7" t="s">
        <v>482</v>
      </c>
      <c r="C25" s="7">
        <v>29</v>
      </c>
      <c r="D25" s="7">
        <v>52</v>
      </c>
      <c r="E25" s="80" t="s">
        <v>514</v>
      </c>
      <c r="F25" s="7" t="s">
        <v>22</v>
      </c>
      <c r="G25" s="7">
        <v>12</v>
      </c>
      <c r="H25" s="7">
        <v>9000</v>
      </c>
      <c r="I25" s="7">
        <v>2</v>
      </c>
      <c r="K25" s="48" t="s">
        <v>1611</v>
      </c>
      <c r="L25" s="2" t="s">
        <v>485</v>
      </c>
      <c r="M25" s="2">
        <v>80</v>
      </c>
      <c r="N25" s="2">
        <v>308</v>
      </c>
      <c r="O25" s="7" t="s">
        <v>1319</v>
      </c>
      <c r="P25" s="2">
        <v>48</v>
      </c>
      <c r="Q25" s="2">
        <v>31500</v>
      </c>
      <c r="S25" s="2">
        <v>40000</v>
      </c>
      <c r="T25" s="2">
        <f t="shared" si="3"/>
        <v>-8500</v>
      </c>
      <c r="V25" s="1" t="str">
        <f t="shared" si="1"/>
        <v>Armure Barbare (Armure) : Jacques et le Haricot Magique (Legion) / Lv 29 / Base : 52</v>
      </c>
    </row>
    <row r="26" spans="1:22" ht="11.25">
      <c r="A26" s="25" t="s">
        <v>945</v>
      </c>
      <c r="B26" s="6" t="s">
        <v>484</v>
      </c>
      <c r="C26" s="6">
        <v>29</v>
      </c>
      <c r="D26" s="6">
        <v>33</v>
      </c>
      <c r="E26" s="81" t="s">
        <v>514</v>
      </c>
      <c r="F26" s="6" t="s">
        <v>488</v>
      </c>
      <c r="G26" s="6">
        <v>7</v>
      </c>
      <c r="H26" s="6">
        <v>1800</v>
      </c>
      <c r="I26" s="6"/>
      <c r="K26" s="60" t="s">
        <v>1423</v>
      </c>
      <c r="L26" s="7" t="s">
        <v>485</v>
      </c>
      <c r="M26" s="7">
        <v>80</v>
      </c>
      <c r="N26" s="7">
        <v>318</v>
      </c>
      <c r="O26" s="7" t="s">
        <v>1319</v>
      </c>
      <c r="P26" s="7">
        <v>58</v>
      </c>
      <c r="Q26" s="2">
        <v>52500</v>
      </c>
      <c r="S26" s="2">
        <v>40000</v>
      </c>
      <c r="T26" s="2">
        <f t="shared" si="3"/>
        <v>12500</v>
      </c>
      <c r="U26" s="1" t="s">
        <v>26</v>
      </c>
      <c r="V26" s="1" t="str">
        <f t="shared" si="1"/>
        <v>Réalisations de Charmes (Livre) : Jacques et le Haricot Magique (Stage Fini) / Lv 29 / Base : 33</v>
      </c>
    </row>
    <row r="27" spans="1:22" ht="12" thickBot="1">
      <c r="A27" s="24" t="s">
        <v>982</v>
      </c>
      <c r="B27" s="20" t="s">
        <v>483</v>
      </c>
      <c r="C27" s="20">
        <v>34</v>
      </c>
      <c r="D27" s="20">
        <v>68</v>
      </c>
      <c r="E27" s="77" t="s">
        <v>843</v>
      </c>
      <c r="F27" s="20" t="s">
        <v>985</v>
      </c>
      <c r="G27" s="20">
        <v>13</v>
      </c>
      <c r="H27" s="20">
        <v>7500</v>
      </c>
      <c r="I27" s="20"/>
      <c r="K27" s="73" t="s">
        <v>1081</v>
      </c>
      <c r="L27" s="4" t="s">
        <v>485</v>
      </c>
      <c r="M27" s="4">
        <v>80</v>
      </c>
      <c r="N27" s="4">
        <v>327</v>
      </c>
      <c r="O27" s="4" t="s">
        <v>1319</v>
      </c>
      <c r="P27" s="4">
        <v>67</v>
      </c>
      <c r="Q27" s="4">
        <v>63000</v>
      </c>
      <c r="R27" s="4">
        <v>20</v>
      </c>
      <c r="S27" s="4">
        <v>40000</v>
      </c>
      <c r="T27" s="4"/>
      <c r="U27" s="1" t="s">
        <v>26</v>
      </c>
      <c r="V27" s="1" t="str">
        <f t="shared" si="1"/>
        <v>Glaive Spartiate (Arme) : Lande en Feu (Eurytus) / Lv 34 / Base : 68</v>
      </c>
    </row>
    <row r="28" spans="1:22" ht="11.25">
      <c r="A28" s="21" t="s">
        <v>983</v>
      </c>
      <c r="B28" s="7" t="s">
        <v>483</v>
      </c>
      <c r="C28" s="7">
        <v>38</v>
      </c>
      <c r="D28" s="7">
        <v>73</v>
      </c>
      <c r="E28" s="78" t="s">
        <v>843</v>
      </c>
      <c r="F28" s="7" t="s">
        <v>986</v>
      </c>
      <c r="G28" s="7">
        <v>13</v>
      </c>
      <c r="H28" s="7">
        <v>8250</v>
      </c>
      <c r="I28" s="7"/>
      <c r="K28" s="45" t="s">
        <v>625</v>
      </c>
      <c r="L28" s="2" t="s">
        <v>951</v>
      </c>
      <c r="M28" s="2">
        <v>21</v>
      </c>
      <c r="N28" s="2">
        <v>76</v>
      </c>
      <c r="O28" s="2" t="s">
        <v>952</v>
      </c>
      <c r="P28" s="2">
        <v>21</v>
      </c>
      <c r="Q28" s="2">
        <v>5250</v>
      </c>
      <c r="S28" s="2">
        <v>10000</v>
      </c>
      <c r="T28" s="2">
        <f>Q28-S28</f>
        <v>-4750</v>
      </c>
      <c r="V28" s="1" t="str">
        <f t="shared" si="1"/>
        <v>Corde de Drake (Arme) : Lande en Feu (Clytie) / Lv 38 / Base : 73</v>
      </c>
    </row>
    <row r="29" spans="1:22" ht="11.25">
      <c r="A29" s="23" t="s">
        <v>984</v>
      </c>
      <c r="B29" s="7" t="s">
        <v>482</v>
      </c>
      <c r="C29" s="7">
        <v>34</v>
      </c>
      <c r="D29" s="7">
        <v>55</v>
      </c>
      <c r="E29" s="78" t="s">
        <v>843</v>
      </c>
      <c r="F29" s="7" t="s">
        <v>987</v>
      </c>
      <c r="G29" s="7">
        <v>12</v>
      </c>
      <c r="H29" s="7">
        <v>10000</v>
      </c>
      <c r="I29" s="7">
        <v>2</v>
      </c>
      <c r="K29" s="45" t="s">
        <v>1158</v>
      </c>
      <c r="L29" s="2" t="s">
        <v>951</v>
      </c>
      <c r="M29" s="2">
        <v>29</v>
      </c>
      <c r="N29" s="2">
        <v>91</v>
      </c>
      <c r="O29" s="2" t="s">
        <v>952</v>
      </c>
      <c r="P29" s="2">
        <v>21</v>
      </c>
      <c r="Q29" s="2">
        <v>6750</v>
      </c>
      <c r="S29" s="2">
        <v>10000</v>
      </c>
      <c r="T29" s="2">
        <f aca="true" t="shared" si="4" ref="T29:T44">Q29-S29</f>
        <v>-3250</v>
      </c>
      <c r="V29" s="1" t="str">
        <f t="shared" si="1"/>
        <v>Armure de l'Espoir (Armure) : Lande en Feu (Mimas) / Lv 34 / Base : 55</v>
      </c>
    </row>
    <row r="30" spans="1:22" ht="11.25">
      <c r="A30" s="23" t="s">
        <v>988</v>
      </c>
      <c r="B30" s="7" t="s">
        <v>483</v>
      </c>
      <c r="C30" s="7">
        <v>38</v>
      </c>
      <c r="D30" s="7">
        <v>76</v>
      </c>
      <c r="E30" s="78" t="s">
        <v>843</v>
      </c>
      <c r="F30" s="7" t="s">
        <v>989</v>
      </c>
      <c r="G30" s="7">
        <v>16</v>
      </c>
      <c r="H30" s="7">
        <v>11000</v>
      </c>
      <c r="I30" s="7">
        <v>2</v>
      </c>
      <c r="K30" s="45" t="s">
        <v>1137</v>
      </c>
      <c r="L30" s="2" t="s">
        <v>951</v>
      </c>
      <c r="M30" s="2">
        <v>38</v>
      </c>
      <c r="N30" s="2">
        <v>106</v>
      </c>
      <c r="O30" s="2" t="s">
        <v>952</v>
      </c>
      <c r="P30" s="2">
        <v>21</v>
      </c>
      <c r="Q30" s="2">
        <v>8250</v>
      </c>
      <c r="S30" s="2">
        <v>10000</v>
      </c>
      <c r="T30" s="2">
        <f t="shared" si="4"/>
        <v>-1750</v>
      </c>
      <c r="V30" s="1" t="str">
        <f t="shared" si="1"/>
        <v>Canne Dorée (Arme) : Lande en Feu (Ephialtès) / Lv 38 / Base : 76</v>
      </c>
    </row>
    <row r="31" spans="1:22" ht="11.25">
      <c r="A31" s="26" t="s">
        <v>990</v>
      </c>
      <c r="B31" s="7" t="s">
        <v>483</v>
      </c>
      <c r="C31" s="7">
        <v>38</v>
      </c>
      <c r="D31" s="7">
        <v>80</v>
      </c>
      <c r="E31" s="78" t="s">
        <v>843</v>
      </c>
      <c r="F31" s="7" t="s">
        <v>22</v>
      </c>
      <c r="G31" s="7">
        <v>20</v>
      </c>
      <c r="H31" s="7">
        <v>16500</v>
      </c>
      <c r="I31" s="7">
        <v>5</v>
      </c>
      <c r="K31" s="45" t="s">
        <v>1162</v>
      </c>
      <c r="L31" s="2" t="s">
        <v>951</v>
      </c>
      <c r="M31" s="2">
        <v>46</v>
      </c>
      <c r="N31" s="2">
        <v>121</v>
      </c>
      <c r="O31" s="2" t="s">
        <v>952</v>
      </c>
      <c r="P31" s="2">
        <v>21</v>
      </c>
      <c r="Q31" s="2">
        <v>9750</v>
      </c>
      <c r="S31" s="2">
        <v>10000</v>
      </c>
      <c r="T31" s="2">
        <f t="shared" si="4"/>
        <v>-250</v>
      </c>
      <c r="V31" s="1" t="str">
        <f t="shared" si="1"/>
        <v>Traîtrise Sanglante (Arme) : Lande en Feu (Legion) / Lv 38 / Base : 80</v>
      </c>
    </row>
    <row r="32" spans="1:22" ht="11.25">
      <c r="A32" s="27" t="s">
        <v>1007</v>
      </c>
      <c r="B32" s="6" t="s">
        <v>485</v>
      </c>
      <c r="C32" s="6">
        <v>38</v>
      </c>
      <c r="D32" s="6">
        <v>183</v>
      </c>
      <c r="E32" s="76" t="s">
        <v>843</v>
      </c>
      <c r="F32" s="6" t="s">
        <v>488</v>
      </c>
      <c r="G32" s="6">
        <v>48</v>
      </c>
      <c r="H32" s="6">
        <v>16500</v>
      </c>
      <c r="I32" s="6"/>
      <c r="K32" s="46" t="s">
        <v>1159</v>
      </c>
      <c r="L32" s="2" t="s">
        <v>951</v>
      </c>
      <c r="M32" s="2">
        <v>38</v>
      </c>
      <c r="N32" s="2">
        <v>111</v>
      </c>
      <c r="O32" s="2" t="s">
        <v>952</v>
      </c>
      <c r="P32" s="2">
        <v>26</v>
      </c>
      <c r="Q32" s="2">
        <v>11000</v>
      </c>
      <c r="S32" s="2">
        <v>10000</v>
      </c>
      <c r="T32" s="2">
        <f t="shared" si="4"/>
        <v>1000</v>
      </c>
      <c r="V32" s="1" t="str">
        <f t="shared" si="1"/>
        <v>Kykhreides (Cheval) : Lande en Feu (Stage Fini) / Lv 38 / Base : 183</v>
      </c>
    </row>
    <row r="33" spans="1:22" ht="11.25" customHeight="1">
      <c r="A33" s="24" t="s">
        <v>992</v>
      </c>
      <c r="B33" s="20" t="s">
        <v>483</v>
      </c>
      <c r="C33" s="20">
        <v>42</v>
      </c>
      <c r="D33" s="20">
        <v>78</v>
      </c>
      <c r="E33" s="79" t="s">
        <v>842</v>
      </c>
      <c r="F33" s="20" t="s">
        <v>993</v>
      </c>
      <c r="G33" s="20">
        <v>13</v>
      </c>
      <c r="H33" s="20">
        <v>9000</v>
      </c>
      <c r="I33" s="20"/>
      <c r="K33" s="51" t="s">
        <v>1184</v>
      </c>
      <c r="L33" s="6" t="s">
        <v>951</v>
      </c>
      <c r="M33" s="6">
        <v>46</v>
      </c>
      <c r="N33" s="6">
        <v>126</v>
      </c>
      <c r="O33" s="6" t="s">
        <v>952</v>
      </c>
      <c r="P33" s="6">
        <v>26</v>
      </c>
      <c r="Q33" s="6">
        <v>13000</v>
      </c>
      <c r="R33" s="6"/>
      <c r="S33" s="6">
        <v>10000</v>
      </c>
      <c r="T33" s="6">
        <f t="shared" si="4"/>
        <v>3000</v>
      </c>
      <c r="V33" s="1" t="str">
        <f t="shared" si="1"/>
        <v>Python d'Argent (Arme) : Déesses de la Pomme d'Or (Nymphe) / Lv 42 / Base : 78</v>
      </c>
    </row>
    <row r="34" spans="1:22" ht="11.25">
      <c r="A34" s="21" t="s">
        <v>994</v>
      </c>
      <c r="B34" s="7" t="s">
        <v>483</v>
      </c>
      <c r="C34" s="7">
        <v>39</v>
      </c>
      <c r="D34" s="7">
        <v>75</v>
      </c>
      <c r="E34" s="80" t="s">
        <v>842</v>
      </c>
      <c r="F34" s="7" t="s">
        <v>995</v>
      </c>
      <c r="G34" s="7">
        <v>13</v>
      </c>
      <c r="H34" s="7">
        <v>8550</v>
      </c>
      <c r="I34" s="7"/>
      <c r="K34" s="45" t="s">
        <v>1195</v>
      </c>
      <c r="L34" s="2" t="s">
        <v>951</v>
      </c>
      <c r="M34" s="2">
        <v>55</v>
      </c>
      <c r="N34" s="2">
        <v>136</v>
      </c>
      <c r="O34" s="2" t="s">
        <v>1187</v>
      </c>
      <c r="P34" s="2">
        <v>21</v>
      </c>
      <c r="Q34" s="2">
        <v>11250</v>
      </c>
      <c r="S34" s="2">
        <v>16000</v>
      </c>
      <c r="T34" s="2">
        <f t="shared" si="4"/>
        <v>-4750</v>
      </c>
      <c r="V34" s="1" t="str">
        <f t="shared" si="1"/>
        <v>Fouet de Claire (Arme) : Déesses de la Pomme d'Or (Arktos) / Lv 39 / Base : 75</v>
      </c>
    </row>
    <row r="35" spans="1:22" ht="11.25">
      <c r="A35" s="23" t="s">
        <v>984</v>
      </c>
      <c r="B35" s="7" t="s">
        <v>482</v>
      </c>
      <c r="C35" s="7">
        <v>34</v>
      </c>
      <c r="D35" s="7">
        <v>55</v>
      </c>
      <c r="E35" s="80" t="s">
        <v>842</v>
      </c>
      <c r="F35" s="7" t="s">
        <v>996</v>
      </c>
      <c r="G35" s="7">
        <v>12</v>
      </c>
      <c r="H35" s="7">
        <v>10000</v>
      </c>
      <c r="I35" s="7">
        <v>2</v>
      </c>
      <c r="K35" s="46" t="s">
        <v>1349</v>
      </c>
      <c r="L35" s="2" t="s">
        <v>951</v>
      </c>
      <c r="M35" s="2">
        <v>55</v>
      </c>
      <c r="N35" s="2">
        <v>141</v>
      </c>
      <c r="O35" s="2" t="s">
        <v>1187</v>
      </c>
      <c r="P35" s="2">
        <v>26</v>
      </c>
      <c r="Q35" s="2">
        <v>15000</v>
      </c>
      <c r="S35" s="2">
        <v>16000</v>
      </c>
      <c r="T35" s="2">
        <f t="shared" si="4"/>
        <v>-1000</v>
      </c>
      <c r="V35" s="1" t="str">
        <f t="shared" si="1"/>
        <v>Armure de l'Espoir (Armure) : Déesses de la Pomme d'Or (Hesperis) / Lv 34 / Base : 55</v>
      </c>
    </row>
    <row r="36" spans="1:22" ht="11.25">
      <c r="A36" s="26" t="s">
        <v>997</v>
      </c>
      <c r="B36" s="7" t="s">
        <v>482</v>
      </c>
      <c r="C36" s="7">
        <v>42</v>
      </c>
      <c r="D36" s="7">
        <v>66</v>
      </c>
      <c r="E36" s="80" t="s">
        <v>842</v>
      </c>
      <c r="F36" s="7" t="s">
        <v>998</v>
      </c>
      <c r="G36" s="7">
        <v>15</v>
      </c>
      <c r="H36" s="7">
        <v>18000</v>
      </c>
      <c r="I36" s="7">
        <v>5</v>
      </c>
      <c r="K36" s="66" t="s">
        <v>1132</v>
      </c>
      <c r="L36" s="7" t="s">
        <v>951</v>
      </c>
      <c r="M36" s="7">
        <v>55</v>
      </c>
      <c r="N36" s="7">
        <v>147</v>
      </c>
      <c r="O36" s="2" t="s">
        <v>1187</v>
      </c>
      <c r="P36" s="7">
        <v>32</v>
      </c>
      <c r="Q36" s="7">
        <v>22500</v>
      </c>
      <c r="R36" s="7">
        <v>5</v>
      </c>
      <c r="S36" s="2">
        <v>16000</v>
      </c>
      <c r="T36" s="2">
        <f>(Q36/R36)-S36</f>
        <v>-11500</v>
      </c>
      <c r="V36" s="1" t="str">
        <f t="shared" si="1"/>
        <v>Armure du Désir (Armure) : Déesses de la Pomme d'Or (Dysis) / Lv 42 / Base : 66</v>
      </c>
    </row>
    <row r="37" spans="1:22" ht="11.25">
      <c r="A37" s="28" t="s">
        <v>1069</v>
      </c>
      <c r="B37" s="7" t="s">
        <v>483</v>
      </c>
      <c r="C37" s="7">
        <v>46</v>
      </c>
      <c r="D37" s="7">
        <v>94</v>
      </c>
      <c r="E37" s="80" t="s">
        <v>842</v>
      </c>
      <c r="F37" s="7" t="s">
        <v>22</v>
      </c>
      <c r="G37" s="7">
        <v>24</v>
      </c>
      <c r="H37" s="7">
        <v>32500</v>
      </c>
      <c r="I37" s="7">
        <v>10</v>
      </c>
      <c r="K37" s="45" t="s">
        <v>1197</v>
      </c>
      <c r="L37" s="2" t="s">
        <v>951</v>
      </c>
      <c r="M37" s="2">
        <v>63</v>
      </c>
      <c r="N37" s="2">
        <v>151</v>
      </c>
      <c r="O37" s="2" t="s">
        <v>1187</v>
      </c>
      <c r="P37" s="2">
        <v>21</v>
      </c>
      <c r="Q37" s="2">
        <v>12750</v>
      </c>
      <c r="S37" s="2">
        <v>16000</v>
      </c>
      <c r="T37" s="2">
        <f t="shared" si="4"/>
        <v>-3250</v>
      </c>
      <c r="V37" s="1" t="str">
        <f t="shared" si="1"/>
        <v>Epée d'Arès (Arme) : Déesses de la Pomme d'Or (Legion) / Lv 46 / Base : 94</v>
      </c>
    </row>
    <row r="38" spans="1:22" ht="11.25">
      <c r="A38" s="27" t="s">
        <v>990</v>
      </c>
      <c r="B38" s="6" t="s">
        <v>483</v>
      </c>
      <c r="C38" s="6">
        <v>38</v>
      </c>
      <c r="D38" s="6">
        <v>80</v>
      </c>
      <c r="E38" s="81" t="s">
        <v>842</v>
      </c>
      <c r="F38" s="6" t="s">
        <v>488</v>
      </c>
      <c r="G38" s="6">
        <v>20</v>
      </c>
      <c r="H38" s="6">
        <v>16500</v>
      </c>
      <c r="I38" s="6"/>
      <c r="K38" s="46" t="s">
        <v>1417</v>
      </c>
      <c r="L38" s="2" t="s">
        <v>951</v>
      </c>
      <c r="M38" s="2">
        <v>63</v>
      </c>
      <c r="N38" s="2">
        <v>156</v>
      </c>
      <c r="O38" s="2" t="s">
        <v>1187</v>
      </c>
      <c r="P38" s="2">
        <v>26</v>
      </c>
      <c r="Q38" s="2">
        <v>17000</v>
      </c>
      <c r="S38" s="2">
        <v>16000</v>
      </c>
      <c r="T38" s="2">
        <f t="shared" si="4"/>
        <v>1000</v>
      </c>
      <c r="V38" s="1" t="str">
        <f t="shared" si="1"/>
        <v>Traîtrise Sanglante (Arme) : Déesses de la Pomme d'Or (Stage Fini) / Lv 38 / Base : 80</v>
      </c>
    </row>
    <row r="39" spans="1:22" ht="11.25">
      <c r="A39" s="24" t="s">
        <v>1084</v>
      </c>
      <c r="B39" s="20" t="s">
        <v>483</v>
      </c>
      <c r="C39" s="20">
        <v>46</v>
      </c>
      <c r="D39" s="20">
        <v>83</v>
      </c>
      <c r="E39" s="77" t="s">
        <v>1003</v>
      </c>
      <c r="F39" s="20" t="s">
        <v>1591</v>
      </c>
      <c r="G39" s="20">
        <v>13</v>
      </c>
      <c r="H39" s="20">
        <v>9750</v>
      </c>
      <c r="I39" s="20"/>
      <c r="K39" s="52" t="s">
        <v>1209</v>
      </c>
      <c r="L39" s="6" t="s">
        <v>951</v>
      </c>
      <c r="M39" s="6">
        <v>63</v>
      </c>
      <c r="N39" s="6">
        <v>162</v>
      </c>
      <c r="O39" s="6" t="s">
        <v>1187</v>
      </c>
      <c r="P39" s="6">
        <v>32</v>
      </c>
      <c r="Q39" s="6">
        <v>25500</v>
      </c>
      <c r="R39" s="6"/>
      <c r="S39" s="6">
        <v>16000</v>
      </c>
      <c r="T39" s="6">
        <f t="shared" si="4"/>
        <v>9500</v>
      </c>
      <c r="V39" s="1" t="str">
        <f t="shared" si="1"/>
        <v>Arc des Neufs (Arme) : Dieux de la Mer (Galatée) / Lv 46 / Base : 83</v>
      </c>
    </row>
    <row r="40" spans="1:22" ht="11.25">
      <c r="A40" s="21" t="s">
        <v>1085</v>
      </c>
      <c r="B40" s="7" t="s">
        <v>483</v>
      </c>
      <c r="C40" s="7">
        <v>48</v>
      </c>
      <c r="D40" s="7">
        <v>85</v>
      </c>
      <c r="E40" s="78" t="s">
        <v>1003</v>
      </c>
      <c r="F40" s="105" t="s">
        <v>1083</v>
      </c>
      <c r="G40" s="7">
        <v>13</v>
      </c>
      <c r="H40" s="7">
        <v>10050</v>
      </c>
      <c r="I40" s="7"/>
      <c r="K40" s="55" t="s">
        <v>1475</v>
      </c>
      <c r="L40" s="2" t="s">
        <v>951</v>
      </c>
      <c r="M40" s="2">
        <v>72</v>
      </c>
      <c r="N40" s="2">
        <v>171</v>
      </c>
      <c r="O40" s="2" t="s">
        <v>1344</v>
      </c>
      <c r="P40" s="2">
        <v>26</v>
      </c>
      <c r="Q40" s="2">
        <v>19000</v>
      </c>
      <c r="S40" s="2">
        <v>30000</v>
      </c>
      <c r="T40" s="2">
        <f t="shared" si="4"/>
        <v>-11000</v>
      </c>
      <c r="V40" s="1" t="str">
        <f t="shared" si="1"/>
        <v>Flèches de Feu (Arme) : Dieux de la Mer (Naïade) / Lv 48 / Base : 85</v>
      </c>
    </row>
    <row r="41" spans="1:22" ht="11.25">
      <c r="A41" s="21" t="s">
        <v>1134</v>
      </c>
      <c r="B41" s="7" t="s">
        <v>483</v>
      </c>
      <c r="C41" s="7">
        <v>49</v>
      </c>
      <c r="D41" s="7">
        <v>86</v>
      </c>
      <c r="E41" s="78" t="s">
        <v>1003</v>
      </c>
      <c r="F41" s="7" t="s">
        <v>1086</v>
      </c>
      <c r="G41" s="7">
        <v>13</v>
      </c>
      <c r="H41" s="7">
        <v>10200</v>
      </c>
      <c r="I41" s="7"/>
      <c r="K41" s="48" t="s">
        <v>1160</v>
      </c>
      <c r="L41" s="2" t="s">
        <v>951</v>
      </c>
      <c r="M41" s="2">
        <v>72</v>
      </c>
      <c r="N41" s="2">
        <v>177</v>
      </c>
      <c r="O41" s="2" t="s">
        <v>1344</v>
      </c>
      <c r="P41" s="2">
        <v>32</v>
      </c>
      <c r="Q41" s="2">
        <v>28500</v>
      </c>
      <c r="S41" s="2">
        <v>30000</v>
      </c>
      <c r="T41" s="2">
        <f t="shared" si="4"/>
        <v>-1500</v>
      </c>
      <c r="V41" s="1" t="str">
        <f t="shared" si="1"/>
        <v>Glaive Lunaire (Arme) : Dieux de la Mer (Amaltheia) / Lv 49 / Base : 86</v>
      </c>
    </row>
    <row r="42" spans="1:22" ht="11.25">
      <c r="A42" s="23" t="s">
        <v>841</v>
      </c>
      <c r="B42" s="104" t="s">
        <v>482</v>
      </c>
      <c r="C42" s="104">
        <v>29</v>
      </c>
      <c r="D42" s="104">
        <v>52</v>
      </c>
      <c r="E42" s="78" t="s">
        <v>1003</v>
      </c>
      <c r="F42" s="7" t="s">
        <v>1133</v>
      </c>
      <c r="G42" s="104">
        <v>12</v>
      </c>
      <c r="H42" s="104">
        <v>9000</v>
      </c>
      <c r="I42" s="104">
        <v>2</v>
      </c>
      <c r="K42" s="59" t="s">
        <v>1295</v>
      </c>
      <c r="L42" s="7" t="s">
        <v>951</v>
      </c>
      <c r="M42" s="7">
        <v>80</v>
      </c>
      <c r="N42" s="7">
        <v>192</v>
      </c>
      <c r="O42" s="7" t="s">
        <v>1344</v>
      </c>
      <c r="P42" s="7">
        <v>32</v>
      </c>
      <c r="Q42" s="7">
        <v>31500</v>
      </c>
      <c r="R42" s="7"/>
      <c r="S42" s="7">
        <v>30000</v>
      </c>
      <c r="T42" s="2">
        <f t="shared" si="4"/>
        <v>1500</v>
      </c>
      <c r="V42" s="1" t="str">
        <f t="shared" si="1"/>
        <v>Armure Barbare (Armure) : Dieux de la Mer (Halia) / Lv 29 / Base : 52</v>
      </c>
    </row>
    <row r="43" spans="1:22" ht="11.25">
      <c r="A43" s="26" t="s">
        <v>997</v>
      </c>
      <c r="B43" s="7" t="s">
        <v>482</v>
      </c>
      <c r="C43" s="7">
        <v>42</v>
      </c>
      <c r="D43" s="7">
        <v>66</v>
      </c>
      <c r="E43" s="78" t="s">
        <v>1003</v>
      </c>
      <c r="F43" s="7" t="s">
        <v>1135</v>
      </c>
      <c r="G43" s="7">
        <v>15</v>
      </c>
      <c r="H43" s="7">
        <v>18000</v>
      </c>
      <c r="I43" s="7">
        <v>5</v>
      </c>
      <c r="K43" s="58" t="s">
        <v>1068</v>
      </c>
      <c r="L43" s="6" t="s">
        <v>951</v>
      </c>
      <c r="M43" s="6">
        <v>80</v>
      </c>
      <c r="N43" s="6">
        <v>198</v>
      </c>
      <c r="O43" s="6" t="s">
        <v>1344</v>
      </c>
      <c r="P43" s="6">
        <v>38</v>
      </c>
      <c r="Q43" s="6">
        <v>52500</v>
      </c>
      <c r="R43" s="6">
        <v>10</v>
      </c>
      <c r="S43" s="6">
        <v>30000</v>
      </c>
      <c r="T43" s="6">
        <f>(Q43/R43)-S43</f>
        <v>-24750</v>
      </c>
      <c r="V43" s="1" t="str">
        <f t="shared" si="1"/>
        <v>Armure du Désir (Armure) : Dieux de la Mer (Céto) / Lv 42 / Base : 66</v>
      </c>
    </row>
    <row r="44" spans="1:22" ht="11.25">
      <c r="A44" s="26" t="s">
        <v>997</v>
      </c>
      <c r="B44" s="7" t="s">
        <v>482</v>
      </c>
      <c r="C44" s="7">
        <v>42</v>
      </c>
      <c r="D44" s="7">
        <v>66</v>
      </c>
      <c r="E44" s="78" t="s">
        <v>1003</v>
      </c>
      <c r="F44" s="7" t="s">
        <v>22</v>
      </c>
      <c r="G44" s="7">
        <v>15</v>
      </c>
      <c r="H44" s="7">
        <v>18000</v>
      </c>
      <c r="I44" s="7">
        <v>5</v>
      </c>
      <c r="K44" s="53" t="s">
        <v>1293</v>
      </c>
      <c r="L44" s="2" t="s">
        <v>951</v>
      </c>
      <c r="M44" s="2">
        <v>85</v>
      </c>
      <c r="N44" s="2">
        <v>258</v>
      </c>
      <c r="O44" s="2" t="s">
        <v>463</v>
      </c>
      <c r="P44" s="2">
        <v>38</v>
      </c>
      <c r="Q44" s="2">
        <v>50000</v>
      </c>
      <c r="S44" s="2">
        <v>60000</v>
      </c>
      <c r="T44" s="2">
        <f t="shared" si="4"/>
        <v>-10000</v>
      </c>
      <c r="V44" s="1" t="str">
        <f t="shared" si="1"/>
        <v>Armure du Désir (Armure) : Dieux de la Mer (Legion) / Lv 42 / Base : 66</v>
      </c>
    </row>
    <row r="45" spans="1:22" ht="11.25">
      <c r="A45" s="27" t="s">
        <v>997</v>
      </c>
      <c r="B45" s="6" t="s">
        <v>482</v>
      </c>
      <c r="C45" s="6">
        <v>42</v>
      </c>
      <c r="D45" s="6">
        <v>66</v>
      </c>
      <c r="E45" s="76" t="s">
        <v>1003</v>
      </c>
      <c r="F45" s="6" t="s">
        <v>488</v>
      </c>
      <c r="G45" s="6">
        <v>15</v>
      </c>
      <c r="H45" s="6">
        <v>18000</v>
      </c>
      <c r="I45" s="6"/>
      <c r="K45" s="72" t="s">
        <v>1186</v>
      </c>
      <c r="L45" s="2" t="s">
        <v>951</v>
      </c>
      <c r="M45" s="2">
        <v>80</v>
      </c>
      <c r="N45" s="2">
        <v>255</v>
      </c>
      <c r="O45" s="2" t="s">
        <v>463</v>
      </c>
      <c r="P45" s="2">
        <v>44</v>
      </c>
      <c r="Q45" s="2">
        <v>60000</v>
      </c>
      <c r="R45" s="2">
        <v>20</v>
      </c>
      <c r="S45" s="2">
        <v>60000</v>
      </c>
      <c r="T45" s="2">
        <f>(Q45/R45)-S45</f>
        <v>-57000</v>
      </c>
      <c r="V45" s="1" t="str">
        <f t="shared" si="1"/>
        <v>Armure du Désir (Armure) : Dieux de la Mer (Stage Fini) / Lv 42 / Base : 66</v>
      </c>
    </row>
    <row r="46" spans="1:22" ht="11.25">
      <c r="A46" s="30" t="s">
        <v>1169</v>
      </c>
      <c r="B46" s="2" t="s">
        <v>483</v>
      </c>
      <c r="C46" s="2">
        <v>55</v>
      </c>
      <c r="D46" s="2">
        <v>93</v>
      </c>
      <c r="E46" s="77" t="s">
        <v>1075</v>
      </c>
      <c r="F46" s="105" t="s">
        <v>1572</v>
      </c>
      <c r="G46" s="2">
        <v>13</v>
      </c>
      <c r="H46" s="2">
        <v>11250</v>
      </c>
      <c r="V46" s="1" t="str">
        <f t="shared" si="1"/>
        <v>Arc Elfe (Arme) : Dieux de la Terre (Hyppolyte) / Lv 55 / Base : 93</v>
      </c>
    </row>
    <row r="47" spans="1:22" ht="11.25">
      <c r="A47" s="31" t="s">
        <v>1172</v>
      </c>
      <c r="B47" s="2" t="s">
        <v>483</v>
      </c>
      <c r="C47" s="2">
        <v>55</v>
      </c>
      <c r="D47" s="2">
        <v>96</v>
      </c>
      <c r="E47" s="78" t="s">
        <v>1075</v>
      </c>
      <c r="F47" s="105" t="s">
        <v>1170</v>
      </c>
      <c r="G47" s="2">
        <v>16</v>
      </c>
      <c r="H47" s="2">
        <v>15000</v>
      </c>
      <c r="I47" s="2">
        <v>2</v>
      </c>
      <c r="K47" s="45" t="s">
        <v>1141</v>
      </c>
      <c r="L47" s="2" t="s">
        <v>486</v>
      </c>
      <c r="M47" s="2">
        <v>29</v>
      </c>
      <c r="N47" s="2">
        <v>103</v>
      </c>
      <c r="O47" s="2" t="s">
        <v>425</v>
      </c>
      <c r="P47" s="2">
        <v>13</v>
      </c>
      <c r="Q47" s="2">
        <v>5250</v>
      </c>
      <c r="R47" s="2" t="s">
        <v>1151</v>
      </c>
      <c r="V47" s="1" t="str">
        <f t="shared" si="1"/>
        <v>Couteau de Sacrifice (Arme) : Dieux de la Terre (Adikia) / Lv 55 / Base : 96</v>
      </c>
    </row>
    <row r="48" spans="1:22" ht="11.25">
      <c r="A48" s="23" t="s">
        <v>984</v>
      </c>
      <c r="B48" s="104" t="s">
        <v>482</v>
      </c>
      <c r="C48" s="104">
        <v>34</v>
      </c>
      <c r="D48" s="104">
        <v>55</v>
      </c>
      <c r="E48" s="78" t="s">
        <v>1075</v>
      </c>
      <c r="F48" s="104" t="s">
        <v>1173</v>
      </c>
      <c r="G48" s="104">
        <v>12</v>
      </c>
      <c r="H48" s="104">
        <v>10000</v>
      </c>
      <c r="I48" s="104">
        <v>2</v>
      </c>
      <c r="K48" s="45" t="s">
        <v>1142</v>
      </c>
      <c r="L48" s="2" t="s">
        <v>486</v>
      </c>
      <c r="M48" s="2">
        <v>38</v>
      </c>
      <c r="N48" s="2">
        <v>123</v>
      </c>
      <c r="O48" s="2" t="s">
        <v>425</v>
      </c>
      <c r="P48" s="2">
        <v>13</v>
      </c>
      <c r="R48" s="2" t="s">
        <v>1152</v>
      </c>
      <c r="V48" s="1" t="str">
        <f t="shared" si="1"/>
        <v>Armure de l'Espoir (Armure) : Dieux de la Terre (Phobos) / Lv 34 / Base : 55</v>
      </c>
    </row>
    <row r="49" spans="1:22" ht="11.25">
      <c r="A49" s="47" t="s">
        <v>1174</v>
      </c>
      <c r="B49" s="2" t="s">
        <v>483</v>
      </c>
      <c r="C49" s="2">
        <v>51</v>
      </c>
      <c r="D49" s="2">
        <v>95</v>
      </c>
      <c r="E49" s="78" t="s">
        <v>1075</v>
      </c>
      <c r="F49" s="2" t="s">
        <v>1175</v>
      </c>
      <c r="G49" s="2">
        <v>20</v>
      </c>
      <c r="H49" s="2">
        <v>21000</v>
      </c>
      <c r="I49" s="2">
        <v>5</v>
      </c>
      <c r="K49" s="45" t="s">
        <v>1143</v>
      </c>
      <c r="L49" s="2" t="s">
        <v>486</v>
      </c>
      <c r="M49" s="2">
        <v>46</v>
      </c>
      <c r="N49" s="2">
        <v>143</v>
      </c>
      <c r="O49" s="2" t="s">
        <v>425</v>
      </c>
      <c r="P49" s="2">
        <v>13</v>
      </c>
      <c r="R49" s="2" t="s">
        <v>1153</v>
      </c>
      <c r="V49" s="1" t="str">
        <f t="shared" si="1"/>
        <v>Aviron de Charon (Arme) : Dieux de la Terre (Lélantos) / Lv 51 / Base : 95</v>
      </c>
    </row>
    <row r="50" spans="1:22" ht="11.25">
      <c r="A50" s="29" t="s">
        <v>1214</v>
      </c>
      <c r="B50" s="105" t="s">
        <v>483</v>
      </c>
      <c r="C50" s="105">
        <v>55</v>
      </c>
      <c r="D50" s="105">
        <v>104</v>
      </c>
      <c r="E50" s="78" t="s">
        <v>1075</v>
      </c>
      <c r="F50" s="105" t="s">
        <v>22</v>
      </c>
      <c r="G50" s="105">
        <v>24</v>
      </c>
      <c r="H50" s="105">
        <v>37500</v>
      </c>
      <c r="I50" s="105">
        <v>10</v>
      </c>
      <c r="K50" s="45" t="s">
        <v>1144</v>
      </c>
      <c r="L50" s="2" t="s">
        <v>486</v>
      </c>
      <c r="M50" s="2">
        <v>55</v>
      </c>
      <c r="N50" s="2">
        <v>163</v>
      </c>
      <c r="O50" s="2" t="s">
        <v>425</v>
      </c>
      <c r="P50" s="2">
        <v>13</v>
      </c>
      <c r="R50" s="2" t="s">
        <v>1154</v>
      </c>
      <c r="V50" s="1" t="str">
        <f t="shared" si="1"/>
        <v>Arc d'Apollon (Arme) : Dieux de la Terre (Legion) / Lv 55 / Base : 104</v>
      </c>
    </row>
    <row r="51" spans="1:22" ht="11.25">
      <c r="A51" s="27" t="s">
        <v>1132</v>
      </c>
      <c r="B51" s="133" t="s">
        <v>951</v>
      </c>
      <c r="C51" s="133">
        <v>55</v>
      </c>
      <c r="D51" s="133">
        <v>147</v>
      </c>
      <c r="E51" s="76" t="s">
        <v>1075</v>
      </c>
      <c r="F51" s="133" t="s">
        <v>488</v>
      </c>
      <c r="G51" s="133">
        <v>32</v>
      </c>
      <c r="H51" s="133">
        <v>22500</v>
      </c>
      <c r="I51" s="133"/>
      <c r="K51" s="45" t="s">
        <v>1192</v>
      </c>
      <c r="L51" s="2" t="s">
        <v>486</v>
      </c>
      <c r="M51" s="2">
        <v>63</v>
      </c>
      <c r="N51" s="2">
        <v>183</v>
      </c>
      <c r="O51" s="2" t="s">
        <v>425</v>
      </c>
      <c r="P51" s="2">
        <v>13</v>
      </c>
      <c r="R51" s="2" t="s">
        <v>1155</v>
      </c>
      <c r="V51" s="1" t="str">
        <f t="shared" si="1"/>
        <v>Manteau Runique (Manteau) : Dieux de la Terre (Stage Fini) / Lv 55 / Base : 147</v>
      </c>
    </row>
    <row r="52" spans="1:22" ht="11.25">
      <c r="A52" s="31" t="s">
        <v>1202</v>
      </c>
      <c r="B52" s="105" t="s">
        <v>482</v>
      </c>
      <c r="C52" s="105">
        <v>59</v>
      </c>
      <c r="D52" s="105">
        <v>78</v>
      </c>
      <c r="E52" s="77" t="s">
        <v>1138</v>
      </c>
      <c r="F52" s="105" t="s">
        <v>1203</v>
      </c>
      <c r="G52" s="105">
        <v>12</v>
      </c>
      <c r="H52" s="105">
        <v>16000</v>
      </c>
      <c r="I52" s="105">
        <v>2</v>
      </c>
      <c r="K52" s="45" t="s">
        <v>1231</v>
      </c>
      <c r="L52" s="2" t="s">
        <v>486</v>
      </c>
      <c r="M52" s="2">
        <v>72</v>
      </c>
      <c r="N52" s="2">
        <v>203</v>
      </c>
      <c r="O52" s="2" t="s">
        <v>425</v>
      </c>
      <c r="P52" s="2">
        <v>13</v>
      </c>
      <c r="R52" s="2" t="s">
        <v>1156</v>
      </c>
      <c r="V52" s="1" t="str">
        <f t="shared" si="1"/>
        <v>Voyage Ardent (Armure) : Dieux du Ciel (Niké) / Lv 59 / Base : 78</v>
      </c>
    </row>
    <row r="53" spans="1:22" ht="11.25">
      <c r="A53" s="47" t="s">
        <v>1204</v>
      </c>
      <c r="B53" s="105" t="s">
        <v>482</v>
      </c>
      <c r="C53" s="105">
        <v>59</v>
      </c>
      <c r="D53" s="105">
        <v>81</v>
      </c>
      <c r="E53" s="78" t="s">
        <v>1138</v>
      </c>
      <c r="F53" s="105" t="s">
        <v>1205</v>
      </c>
      <c r="G53" s="105">
        <v>15</v>
      </c>
      <c r="H53" s="105">
        <v>24000</v>
      </c>
      <c r="I53" s="105">
        <v>5</v>
      </c>
      <c r="K53" s="45" t="s">
        <v>1300</v>
      </c>
      <c r="L53" s="2" t="s">
        <v>486</v>
      </c>
      <c r="M53" s="2">
        <v>80</v>
      </c>
      <c r="N53" s="2">
        <v>223</v>
      </c>
      <c r="O53" s="2" t="s">
        <v>425</v>
      </c>
      <c r="P53" s="2">
        <v>13</v>
      </c>
      <c r="R53" s="2" t="s">
        <v>1157</v>
      </c>
      <c r="V53" s="1" t="str">
        <f t="shared" si="1"/>
        <v>Armure Volcanique (Armure) : Dieux du Ciel (Aristée) / Lv 59 / Base : 81</v>
      </c>
    </row>
    <row r="54" spans="1:22" ht="11.25">
      <c r="A54" s="47" t="s">
        <v>1207</v>
      </c>
      <c r="B54" s="105" t="s">
        <v>483</v>
      </c>
      <c r="C54" s="105">
        <v>59</v>
      </c>
      <c r="D54" s="105">
        <v>105</v>
      </c>
      <c r="E54" s="78" t="s">
        <v>1138</v>
      </c>
      <c r="F54" s="105" t="s">
        <v>297</v>
      </c>
      <c r="G54" s="105">
        <v>20</v>
      </c>
      <c r="H54" s="105">
        <v>24000</v>
      </c>
      <c r="I54" s="105">
        <v>5</v>
      </c>
      <c r="K54" s="46" t="s">
        <v>1145</v>
      </c>
      <c r="L54" s="2" t="s">
        <v>486</v>
      </c>
      <c r="M54" s="2">
        <v>46</v>
      </c>
      <c r="N54" s="2">
        <v>146</v>
      </c>
      <c r="O54" s="2" t="s">
        <v>425</v>
      </c>
      <c r="P54" s="2">
        <v>16</v>
      </c>
      <c r="R54" s="2" t="s">
        <v>1150</v>
      </c>
      <c r="V54" s="1" t="str">
        <f t="shared" si="1"/>
        <v>Sabre de Samouraï (Arme) : Dieux du Ciel (Kratos) / Lv 59 / Base : 105</v>
      </c>
    </row>
    <row r="55" spans="1:22" ht="11.25">
      <c r="A55" s="29" t="s">
        <v>1258</v>
      </c>
      <c r="B55" s="105" t="s">
        <v>483</v>
      </c>
      <c r="C55" s="105">
        <v>63</v>
      </c>
      <c r="D55" s="105">
        <v>114</v>
      </c>
      <c r="E55" s="78" t="s">
        <v>1138</v>
      </c>
      <c r="F55" s="105" t="s">
        <v>1208</v>
      </c>
      <c r="G55" s="105">
        <v>24</v>
      </c>
      <c r="H55" s="105">
        <v>42500</v>
      </c>
      <c r="I55" s="105">
        <v>10</v>
      </c>
      <c r="K55" s="46" t="s">
        <v>1146</v>
      </c>
      <c r="L55" s="2" t="s">
        <v>486</v>
      </c>
      <c r="M55" s="2">
        <v>55</v>
      </c>
      <c r="N55" s="2">
        <v>166</v>
      </c>
      <c r="O55" s="2" t="s">
        <v>425</v>
      </c>
      <c r="P55" s="2">
        <v>16</v>
      </c>
      <c r="R55" s="2" t="s">
        <v>1148</v>
      </c>
      <c r="V55" s="1" t="str">
        <f t="shared" si="1"/>
        <v>Faux de la Mort (Arme) : Dieux du Ciel (Alala) / Lv 63 / Base : 114</v>
      </c>
    </row>
    <row r="56" spans="1:22" ht="11.25">
      <c r="A56" s="44" t="s">
        <v>1239</v>
      </c>
      <c r="B56" s="105" t="s">
        <v>483</v>
      </c>
      <c r="C56" s="105">
        <v>63</v>
      </c>
      <c r="D56" s="105">
        <v>118</v>
      </c>
      <c r="E56" s="78" t="s">
        <v>1138</v>
      </c>
      <c r="F56" s="105" t="s">
        <v>22</v>
      </c>
      <c r="G56" s="105">
        <v>28</v>
      </c>
      <c r="H56" s="105">
        <v>51000</v>
      </c>
      <c r="I56" s="105">
        <v>20</v>
      </c>
      <c r="K56" s="46" t="s">
        <v>1193</v>
      </c>
      <c r="L56" s="2" t="s">
        <v>486</v>
      </c>
      <c r="M56" s="2">
        <v>63</v>
      </c>
      <c r="N56" s="2">
        <v>186</v>
      </c>
      <c r="O56" s="2" t="s">
        <v>425</v>
      </c>
      <c r="P56" s="2">
        <v>16</v>
      </c>
      <c r="R56" s="2" t="s">
        <v>1194</v>
      </c>
      <c r="V56" s="1" t="str">
        <f t="shared" si="1"/>
        <v>Lance d'Athéna (Arme) : Dieux du Ciel (Legion) / Lv 63 / Base : 118</v>
      </c>
    </row>
    <row r="57" spans="1:22" ht="11.25">
      <c r="A57" s="27" t="s">
        <v>1230</v>
      </c>
      <c r="B57" s="133" t="s">
        <v>484</v>
      </c>
      <c r="C57" s="133">
        <v>63</v>
      </c>
      <c r="D57" s="133">
        <v>51</v>
      </c>
      <c r="E57" s="76" t="s">
        <v>1138</v>
      </c>
      <c r="F57" s="133" t="s">
        <v>488</v>
      </c>
      <c r="G57" s="133">
        <v>9</v>
      </c>
      <c r="H57" s="133">
        <v>5100</v>
      </c>
      <c r="I57" s="133"/>
      <c r="K57" s="46" t="s">
        <v>1232</v>
      </c>
      <c r="L57" s="2" t="s">
        <v>486</v>
      </c>
      <c r="M57" s="2">
        <v>72</v>
      </c>
      <c r="N57" s="2">
        <v>206</v>
      </c>
      <c r="O57" s="2" t="s">
        <v>425</v>
      </c>
      <c r="P57" s="2">
        <v>16</v>
      </c>
      <c r="R57" s="2" t="s">
        <v>1233</v>
      </c>
      <c r="V57" s="1" t="str">
        <f t="shared" si="1"/>
        <v>Charmes Spartiates (Livre) : Dieux du Ciel (Stage Fini) / Lv 63 / Base : 51</v>
      </c>
    </row>
    <row r="58" spans="1:22" ht="11.25">
      <c r="A58" s="30" t="s">
        <v>1262</v>
      </c>
      <c r="B58" s="105" t="s">
        <v>483</v>
      </c>
      <c r="C58" s="105">
        <v>80</v>
      </c>
      <c r="D58" s="105">
        <v>123</v>
      </c>
      <c r="E58" s="77" t="s">
        <v>1215</v>
      </c>
      <c r="F58" s="105" t="s">
        <v>1573</v>
      </c>
      <c r="G58" s="105">
        <v>13</v>
      </c>
      <c r="H58" s="105">
        <v>15750</v>
      </c>
      <c r="I58" s="105"/>
      <c r="K58" s="48" t="s">
        <v>1147</v>
      </c>
      <c r="L58" s="2" t="s">
        <v>486</v>
      </c>
      <c r="M58" s="2">
        <v>55</v>
      </c>
      <c r="N58" s="2">
        <v>170</v>
      </c>
      <c r="O58" s="2" t="s">
        <v>425</v>
      </c>
      <c r="P58" s="2">
        <v>20</v>
      </c>
      <c r="Q58" s="2">
        <v>22500</v>
      </c>
      <c r="R58" s="2" t="s">
        <v>1149</v>
      </c>
      <c r="V58" s="1" t="str">
        <f t="shared" si="1"/>
        <v>Epée d'Achille (Arme) : Fleuves des Enfers (Aite) / Lv 80 / Base : 123</v>
      </c>
    </row>
    <row r="59" spans="1:22" ht="11.25">
      <c r="A59" s="31" t="s">
        <v>1263</v>
      </c>
      <c r="B59" s="105" t="s">
        <v>483</v>
      </c>
      <c r="C59" s="105">
        <v>80</v>
      </c>
      <c r="D59" s="105">
        <v>126</v>
      </c>
      <c r="E59" s="78" t="s">
        <v>1215</v>
      </c>
      <c r="F59" s="105" t="s">
        <v>1574</v>
      </c>
      <c r="G59" s="105">
        <v>16</v>
      </c>
      <c r="H59" s="105">
        <v>21000</v>
      </c>
      <c r="I59" s="105">
        <v>2</v>
      </c>
      <c r="K59" s="48" t="s">
        <v>1219</v>
      </c>
      <c r="L59" s="2" t="s">
        <v>486</v>
      </c>
      <c r="M59" s="2">
        <v>63</v>
      </c>
      <c r="N59" s="2">
        <v>190</v>
      </c>
      <c r="O59" s="2" t="s">
        <v>425</v>
      </c>
      <c r="P59" s="2">
        <v>20</v>
      </c>
      <c r="Q59" s="2">
        <v>25500</v>
      </c>
      <c r="R59" s="2" t="s">
        <v>1220</v>
      </c>
      <c r="V59" s="1" t="str">
        <f t="shared" si="1"/>
        <v>Diamant des Glaces (Arme) : Fleuves des Enfers (Arae) / Lv 80 / Base : 126</v>
      </c>
    </row>
    <row r="60" spans="1:22" ht="11.25">
      <c r="A60" s="31" t="s">
        <v>1202</v>
      </c>
      <c r="B60" s="105" t="s">
        <v>482</v>
      </c>
      <c r="C60" s="105">
        <v>59</v>
      </c>
      <c r="D60" s="105">
        <v>78</v>
      </c>
      <c r="E60" s="78" t="s">
        <v>1215</v>
      </c>
      <c r="F60" s="105" t="s">
        <v>1261</v>
      </c>
      <c r="G60" s="105">
        <v>12</v>
      </c>
      <c r="H60" s="105">
        <v>16000</v>
      </c>
      <c r="I60" s="105">
        <v>2</v>
      </c>
      <c r="K60" s="48" t="s">
        <v>1234</v>
      </c>
      <c r="L60" s="2" t="s">
        <v>486</v>
      </c>
      <c r="M60" s="2">
        <v>72</v>
      </c>
      <c r="N60" s="2">
        <v>210</v>
      </c>
      <c r="O60" s="2" t="s">
        <v>425</v>
      </c>
      <c r="P60" s="2">
        <v>20</v>
      </c>
      <c r="Q60" s="2">
        <v>28500</v>
      </c>
      <c r="R60" s="2" t="s">
        <v>1235</v>
      </c>
      <c r="V60" s="1" t="str">
        <f t="shared" si="1"/>
        <v>Voyage Ardent (Armure) : Fleuves des Enfers (Echidn) / Lv 59 / Base : 78</v>
      </c>
    </row>
    <row r="61" spans="1:22" ht="11.25">
      <c r="A61" s="47" t="s">
        <v>1204</v>
      </c>
      <c r="B61" s="105" t="s">
        <v>482</v>
      </c>
      <c r="C61" s="105">
        <v>59</v>
      </c>
      <c r="D61" s="105">
        <v>81</v>
      </c>
      <c r="E61" s="78" t="s">
        <v>1215</v>
      </c>
      <c r="F61" s="105" t="s">
        <v>1264</v>
      </c>
      <c r="G61" s="105">
        <v>15</v>
      </c>
      <c r="H61" s="105">
        <v>24000</v>
      </c>
      <c r="I61" s="105">
        <v>5</v>
      </c>
      <c r="K61" s="48" t="s">
        <v>1298</v>
      </c>
      <c r="L61" s="2" t="s">
        <v>486</v>
      </c>
      <c r="M61" s="2">
        <v>80</v>
      </c>
      <c r="N61" s="2">
        <v>230</v>
      </c>
      <c r="O61" s="2" t="s">
        <v>425</v>
      </c>
      <c r="P61" s="2">
        <v>20</v>
      </c>
      <c r="Q61" s="2">
        <v>31500</v>
      </c>
      <c r="R61" s="2" t="s">
        <v>1299</v>
      </c>
      <c r="V61" s="1" t="str">
        <f t="shared" si="1"/>
        <v>Armure Volcanique (Armure) : Fleuves des Enfers (Aporia) / Lv 59 / Base : 81</v>
      </c>
    </row>
    <row r="62" spans="1:22" ht="11.25">
      <c r="A62" s="47" t="s">
        <v>1265</v>
      </c>
      <c r="B62" s="105" t="s">
        <v>482</v>
      </c>
      <c r="C62" s="105">
        <v>80</v>
      </c>
      <c r="D62" s="105">
        <v>100</v>
      </c>
      <c r="E62" s="78" t="s">
        <v>1215</v>
      </c>
      <c r="F62" s="105" t="s">
        <v>1266</v>
      </c>
      <c r="G62" s="105">
        <v>15</v>
      </c>
      <c r="H62" s="105">
        <v>31500</v>
      </c>
      <c r="I62" s="105">
        <v>5</v>
      </c>
      <c r="K62" s="53" t="s">
        <v>1493</v>
      </c>
      <c r="L62" s="2" t="s">
        <v>486</v>
      </c>
      <c r="M62" s="2">
        <v>55</v>
      </c>
      <c r="N62" s="2">
        <v>174</v>
      </c>
      <c r="O62" s="2" t="s">
        <v>425</v>
      </c>
      <c r="P62" s="2">
        <v>24</v>
      </c>
      <c r="R62" s="2" t="s">
        <v>1394</v>
      </c>
      <c r="V62" s="1" t="str">
        <f t="shared" si="1"/>
        <v>Armure de Vainqueur (Armure) : Fleuves des Enfers (Grées) / Lv 80 / Base : 100</v>
      </c>
    </row>
    <row r="63" spans="1:22" ht="11.25">
      <c r="A63" s="47" t="s">
        <v>1267</v>
      </c>
      <c r="B63" s="105" t="s">
        <v>483</v>
      </c>
      <c r="C63" s="105">
        <v>68</v>
      </c>
      <c r="D63" s="105">
        <v>115</v>
      </c>
      <c r="E63" s="78" t="s">
        <v>1215</v>
      </c>
      <c r="F63" s="105" t="s">
        <v>1268</v>
      </c>
      <c r="G63" s="105">
        <v>20</v>
      </c>
      <c r="H63" s="105">
        <v>27000</v>
      </c>
      <c r="I63" s="105">
        <v>5</v>
      </c>
      <c r="K63" s="53" t="s">
        <v>1494</v>
      </c>
      <c r="L63" s="2" t="s">
        <v>486</v>
      </c>
      <c r="M63" s="2">
        <v>63</v>
      </c>
      <c r="N63" s="2">
        <v>194</v>
      </c>
      <c r="O63" s="2" t="s">
        <v>425</v>
      </c>
      <c r="P63" s="2">
        <v>24</v>
      </c>
      <c r="R63" s="2" t="s">
        <v>1395</v>
      </c>
      <c r="V63" s="1" t="str">
        <f t="shared" si="1"/>
        <v>Baguette Magique d'Hermès (Arme) : Fleuves des Enfers (Makaria) / Lv 68 / Base : 115</v>
      </c>
    </row>
    <row r="64" spans="1:22" ht="11.25">
      <c r="A64" s="29" t="s">
        <v>1294</v>
      </c>
      <c r="B64" s="105" t="s">
        <v>483</v>
      </c>
      <c r="C64" s="105">
        <v>72</v>
      </c>
      <c r="D64" s="105">
        <v>124</v>
      </c>
      <c r="E64" s="78" t="s">
        <v>1215</v>
      </c>
      <c r="F64" s="105" t="s">
        <v>1269</v>
      </c>
      <c r="G64" s="105">
        <v>24</v>
      </c>
      <c r="H64" s="105">
        <v>47500</v>
      </c>
      <c r="I64" s="105">
        <v>10</v>
      </c>
      <c r="K64" s="53" t="s">
        <v>1495</v>
      </c>
      <c r="L64" s="2" t="s">
        <v>486</v>
      </c>
      <c r="M64" s="2">
        <v>72</v>
      </c>
      <c r="N64" s="2">
        <v>214</v>
      </c>
      <c r="O64" s="2" t="s">
        <v>425</v>
      </c>
      <c r="P64" s="2">
        <v>24</v>
      </c>
      <c r="R64" s="2" t="s">
        <v>1396</v>
      </c>
      <c r="V64" s="1" t="str">
        <f t="shared" si="1"/>
        <v>Epée d'Hadès (Arme) : Fleuves des Enfers (Anadia) / Lv 72 / Base : 124</v>
      </c>
    </row>
    <row r="65" spans="1:22" ht="11.25">
      <c r="A65" s="29" t="s">
        <v>1271</v>
      </c>
      <c r="B65" s="105" t="s">
        <v>482</v>
      </c>
      <c r="C65" s="105">
        <v>72</v>
      </c>
      <c r="D65" s="105">
        <v>95</v>
      </c>
      <c r="E65" s="78" t="s">
        <v>1215</v>
      </c>
      <c r="F65" s="105" t="s">
        <v>1270</v>
      </c>
      <c r="G65" s="105">
        <v>18</v>
      </c>
      <c r="H65" s="105">
        <v>47500</v>
      </c>
      <c r="I65" s="105">
        <v>10</v>
      </c>
      <c r="K65" s="53" t="s">
        <v>1496</v>
      </c>
      <c r="L65" s="2" t="s">
        <v>486</v>
      </c>
      <c r="M65" s="2">
        <v>80</v>
      </c>
      <c r="N65" s="2">
        <v>234</v>
      </c>
      <c r="O65" s="2" t="s">
        <v>425</v>
      </c>
      <c r="P65" s="2">
        <v>24</v>
      </c>
      <c r="R65" s="2" t="s">
        <v>1397</v>
      </c>
      <c r="V65" s="1" t="str">
        <f t="shared" si="1"/>
        <v>Armure Enchantée (Armure) : Fleuves des Enfers (Apaté) / Lv 72 / Base : 95</v>
      </c>
    </row>
    <row r="66" spans="1:22" ht="11.25">
      <c r="A66" s="44" t="s">
        <v>1353</v>
      </c>
      <c r="B66" s="105" t="s">
        <v>483</v>
      </c>
      <c r="C66" s="105">
        <v>72</v>
      </c>
      <c r="D66" s="105">
        <v>128</v>
      </c>
      <c r="E66" s="78" t="s">
        <v>1215</v>
      </c>
      <c r="F66" s="105" t="s">
        <v>22</v>
      </c>
      <c r="G66" s="105">
        <v>28</v>
      </c>
      <c r="H66" s="105">
        <v>57000</v>
      </c>
      <c r="I66" s="105">
        <v>20</v>
      </c>
      <c r="V66" s="1" t="str">
        <f t="shared" si="1"/>
        <v>Eclair (Arme) : Fleuves des Enfers (Legion) / Lv 72 / Base : 128</v>
      </c>
    </row>
    <row r="67" spans="1:22" ht="11.25">
      <c r="A67" s="27" t="s">
        <v>1234</v>
      </c>
      <c r="B67" s="133" t="s">
        <v>486</v>
      </c>
      <c r="C67" s="133">
        <v>72</v>
      </c>
      <c r="D67" s="133">
        <v>210</v>
      </c>
      <c r="E67" s="76" t="s">
        <v>1215</v>
      </c>
      <c r="F67" s="133" t="s">
        <v>488</v>
      </c>
      <c r="G67" s="133">
        <v>20</v>
      </c>
      <c r="H67" s="133">
        <v>28500</v>
      </c>
      <c r="I67" s="133"/>
      <c r="K67" s="45" t="s">
        <v>1381</v>
      </c>
      <c r="L67" s="2" t="s">
        <v>484</v>
      </c>
      <c r="M67" s="2">
        <v>38</v>
      </c>
      <c r="N67" s="2">
        <v>36</v>
      </c>
      <c r="O67" s="2" t="s">
        <v>1323</v>
      </c>
      <c r="P67" s="2">
        <v>6</v>
      </c>
      <c r="Q67" s="2">
        <v>1650</v>
      </c>
      <c r="V67" s="1" t="str">
        <f aca="true" t="shared" si="5" ref="V67:V130">CONCATENATE(A67," (",B67,") : ",E67," (",F67,") / Lv ",C67," / Base : ",D67)</f>
        <v>Trompette Pleureuse (Cor) : Fleuves des Enfers (Stage Fini) / Lv 72 / Base : 210</v>
      </c>
    </row>
    <row r="68" spans="1:22" ht="11.25">
      <c r="A68" s="47" t="s">
        <v>1326</v>
      </c>
      <c r="B68" s="105" t="s">
        <v>483</v>
      </c>
      <c r="C68" s="105">
        <v>80</v>
      </c>
      <c r="D68" s="105">
        <v>130</v>
      </c>
      <c r="E68" s="78" t="s">
        <v>1216</v>
      </c>
      <c r="F68" s="105" t="s">
        <v>1576</v>
      </c>
      <c r="G68" s="105">
        <v>20</v>
      </c>
      <c r="H68" s="105">
        <v>31500</v>
      </c>
      <c r="I68" s="105">
        <v>5</v>
      </c>
      <c r="K68" s="45" t="s">
        <v>1324</v>
      </c>
      <c r="L68" s="2" t="s">
        <v>484</v>
      </c>
      <c r="M68" s="2">
        <v>46</v>
      </c>
      <c r="N68" s="2">
        <v>40</v>
      </c>
      <c r="O68" s="2" t="s">
        <v>1323</v>
      </c>
      <c r="P68" s="2">
        <v>6</v>
      </c>
      <c r="V68" s="1" t="str">
        <f t="shared" si="5"/>
        <v>Brisingamen (Arme) : L'Antre d'Hadès (Cerbère) / Lv 80 / Base : 130</v>
      </c>
    </row>
    <row r="69" spans="1:22" ht="11.25">
      <c r="A69" s="47" t="s">
        <v>1265</v>
      </c>
      <c r="B69" s="105" t="s">
        <v>482</v>
      </c>
      <c r="C69" s="105">
        <v>80</v>
      </c>
      <c r="D69" s="105">
        <v>100</v>
      </c>
      <c r="E69" s="78" t="s">
        <v>1216</v>
      </c>
      <c r="F69" s="105" t="s">
        <v>1577</v>
      </c>
      <c r="G69" s="105">
        <v>15</v>
      </c>
      <c r="H69" s="105">
        <v>31500</v>
      </c>
      <c r="I69" s="105">
        <v>5</v>
      </c>
      <c r="K69" s="45" t="s">
        <v>1322</v>
      </c>
      <c r="L69" s="2" t="s">
        <v>484</v>
      </c>
      <c r="M69" s="2">
        <v>55</v>
      </c>
      <c r="N69" s="2">
        <v>44</v>
      </c>
      <c r="O69" s="2" t="s">
        <v>1323</v>
      </c>
      <c r="P69" s="2">
        <v>6</v>
      </c>
      <c r="Q69" s="2">
        <v>2250</v>
      </c>
      <c r="V69" s="1" t="str">
        <f t="shared" si="5"/>
        <v>Armure de Vainqueur (Armure) : L'Antre d'Hadès (Alastor) / Lv 80 / Base : 100</v>
      </c>
    </row>
    <row r="70" spans="1:22" ht="11.25" customHeight="1">
      <c r="A70" s="28" t="s">
        <v>1069</v>
      </c>
      <c r="B70" s="104" t="s">
        <v>483</v>
      </c>
      <c r="C70" s="104">
        <v>46</v>
      </c>
      <c r="D70" s="104">
        <v>94</v>
      </c>
      <c r="E70" s="78" t="s">
        <v>1216</v>
      </c>
      <c r="F70" s="104" t="s">
        <v>1578</v>
      </c>
      <c r="G70" s="104">
        <v>24</v>
      </c>
      <c r="H70" s="104">
        <v>32500</v>
      </c>
      <c r="I70" s="104">
        <v>10</v>
      </c>
      <c r="K70" s="45" t="s">
        <v>1382</v>
      </c>
      <c r="L70" s="2" t="s">
        <v>484</v>
      </c>
      <c r="M70" s="2">
        <v>72</v>
      </c>
      <c r="N70" s="2">
        <v>52</v>
      </c>
      <c r="O70" s="2" t="s">
        <v>1323</v>
      </c>
      <c r="P70" s="2">
        <v>6</v>
      </c>
      <c r="Q70" s="2">
        <v>2850</v>
      </c>
      <c r="V70" s="1" t="str">
        <f t="shared" si="5"/>
        <v>Epée d'Arès (Arme) : L'Antre d'Hadès (Lion de Némée) / Lv 46 / Base : 94</v>
      </c>
    </row>
    <row r="71" spans="1:22" ht="11.25">
      <c r="A71" s="29" t="s">
        <v>1271</v>
      </c>
      <c r="B71" s="105" t="s">
        <v>482</v>
      </c>
      <c r="C71" s="105">
        <v>72</v>
      </c>
      <c r="D71" s="105">
        <v>95</v>
      </c>
      <c r="E71" s="78" t="s">
        <v>1216</v>
      </c>
      <c r="F71" s="105" t="s">
        <v>1328</v>
      </c>
      <c r="G71" s="105">
        <v>18</v>
      </c>
      <c r="H71" s="105">
        <v>47500</v>
      </c>
      <c r="I71" s="105">
        <v>10</v>
      </c>
      <c r="K71" s="46" t="s">
        <v>945</v>
      </c>
      <c r="L71" s="2" t="s">
        <v>484</v>
      </c>
      <c r="M71" s="2">
        <v>29</v>
      </c>
      <c r="N71" s="2">
        <v>33</v>
      </c>
      <c r="O71" s="2" t="s">
        <v>1325</v>
      </c>
      <c r="P71" s="2">
        <v>7</v>
      </c>
      <c r="Q71" s="2">
        <v>1800</v>
      </c>
      <c r="V71" s="1" t="str">
        <f t="shared" si="5"/>
        <v>Armure Enchantée (Armure) : L'Antre d'Hadès (Ménoetios) / Lv 72 / Base : 95</v>
      </c>
    </row>
    <row r="72" spans="1:22" ht="11.25">
      <c r="A72" s="29" t="s">
        <v>1258</v>
      </c>
      <c r="B72" s="105" t="s">
        <v>483</v>
      </c>
      <c r="C72" s="105">
        <v>63</v>
      </c>
      <c r="D72" s="105">
        <v>114</v>
      </c>
      <c r="E72" s="78" t="s">
        <v>1216</v>
      </c>
      <c r="F72" s="105" t="s">
        <v>1327</v>
      </c>
      <c r="G72" s="105">
        <v>24</v>
      </c>
      <c r="H72" s="105">
        <v>42500</v>
      </c>
      <c r="I72" s="105">
        <v>10</v>
      </c>
      <c r="K72" s="48" t="s">
        <v>1230</v>
      </c>
      <c r="L72" s="2" t="s">
        <v>484</v>
      </c>
      <c r="M72" s="2">
        <v>63</v>
      </c>
      <c r="N72" s="2">
        <v>51</v>
      </c>
      <c r="O72" s="2" t="s">
        <v>1325</v>
      </c>
      <c r="P72" s="2">
        <v>9</v>
      </c>
      <c r="Q72" s="2">
        <v>5100</v>
      </c>
      <c r="V72" s="1" t="str">
        <f t="shared" si="5"/>
        <v>Faux de la Mort (Arme) : L'Antre d'Hadès (Iapetos) / Lv 63 / Base : 114</v>
      </c>
    </row>
    <row r="73" spans="1:22" ht="11.25">
      <c r="A73" s="29" t="s">
        <v>1314</v>
      </c>
      <c r="B73" s="105" t="s">
        <v>482</v>
      </c>
      <c r="C73" s="105">
        <v>80</v>
      </c>
      <c r="D73" s="105">
        <v>103</v>
      </c>
      <c r="E73" s="78" t="s">
        <v>1216</v>
      </c>
      <c r="F73" s="105" t="s">
        <v>1329</v>
      </c>
      <c r="G73" s="105">
        <v>18</v>
      </c>
      <c r="H73" s="105">
        <v>52500</v>
      </c>
      <c r="I73" s="105">
        <v>10</v>
      </c>
      <c r="V73" s="1" t="str">
        <f t="shared" si="5"/>
        <v>Armure Eclatante (Armure) : L'Antre d'Hadès (Achlus) / Lv 80 / Base : 103</v>
      </c>
    </row>
    <row r="74" spans="1:22" ht="11.25">
      <c r="A74" s="29" t="s">
        <v>1339</v>
      </c>
      <c r="B74" s="105" t="s">
        <v>483</v>
      </c>
      <c r="C74" s="105">
        <v>80</v>
      </c>
      <c r="D74" s="105">
        <v>134</v>
      </c>
      <c r="E74" s="78" t="s">
        <v>1216</v>
      </c>
      <c r="F74" s="105" t="s">
        <v>1331</v>
      </c>
      <c r="G74" s="105">
        <v>24</v>
      </c>
      <c r="H74" s="105">
        <v>52500</v>
      </c>
      <c r="I74" s="105">
        <v>10</v>
      </c>
      <c r="V74" s="1" t="str">
        <f t="shared" si="5"/>
        <v>Pavot d'Hypnos (Arme) : L'Antre d'Hadès (Macaria) / Lv 80 / Base : 134</v>
      </c>
    </row>
    <row r="75" spans="1:22" ht="11.25">
      <c r="A75" s="44" t="s">
        <v>1366</v>
      </c>
      <c r="B75" s="105" t="s">
        <v>483</v>
      </c>
      <c r="C75" s="105">
        <v>80</v>
      </c>
      <c r="D75" s="105">
        <v>138</v>
      </c>
      <c r="E75" s="78" t="s">
        <v>1216</v>
      </c>
      <c r="F75" s="105" t="s">
        <v>22</v>
      </c>
      <c r="G75" s="105">
        <v>28</v>
      </c>
      <c r="H75" s="105">
        <v>63000</v>
      </c>
      <c r="I75" s="105">
        <v>20</v>
      </c>
      <c r="V75" s="1" t="str">
        <f t="shared" si="5"/>
        <v>Laevateinn (Arme) : L'Antre d'Hadès (Legion) / Lv 80 / Base : 138</v>
      </c>
    </row>
    <row r="76" spans="1:22" ht="11.25">
      <c r="A76" s="27" t="s">
        <v>1326</v>
      </c>
      <c r="B76" s="133" t="s">
        <v>483</v>
      </c>
      <c r="C76" s="133">
        <v>80</v>
      </c>
      <c r="D76" s="133">
        <v>130</v>
      </c>
      <c r="E76" s="76" t="s">
        <v>1216</v>
      </c>
      <c r="F76" s="133" t="s">
        <v>488</v>
      </c>
      <c r="G76" s="133">
        <v>20</v>
      </c>
      <c r="H76" s="133">
        <v>31500</v>
      </c>
      <c r="I76" s="133"/>
      <c r="V76" s="1" t="str">
        <f t="shared" si="5"/>
        <v>Brisingamen (Arme) : L'Antre d'Hadès (Stage Fini) / Lv 80 / Base : 130</v>
      </c>
    </row>
    <row r="77" spans="1:22" ht="33.75">
      <c r="A77" s="83" t="s">
        <v>1326</v>
      </c>
      <c r="B77" s="20" t="s">
        <v>483</v>
      </c>
      <c r="C77" s="20">
        <v>80</v>
      </c>
      <c r="D77" s="20">
        <v>130</v>
      </c>
      <c r="E77" s="134" t="s">
        <v>1376</v>
      </c>
      <c r="F77" s="20" t="s">
        <v>1579</v>
      </c>
      <c r="G77" s="20">
        <v>20</v>
      </c>
      <c r="H77" s="20">
        <v>31500</v>
      </c>
      <c r="I77" s="20">
        <v>10</v>
      </c>
      <c r="V77" s="1" t="str">
        <f t="shared" si="5"/>
        <v>Brisingamen (Arme) : La Sagesse d'Athéna
Le Mugissement de Poséidon
La Clémence de Zeus (Ophion/Triton/Ether) / Lv 80 / Base : 130</v>
      </c>
    </row>
    <row r="78" spans="1:22" ht="11.25">
      <c r="A78" s="29" t="s">
        <v>1214</v>
      </c>
      <c r="B78" s="105" t="s">
        <v>483</v>
      </c>
      <c r="C78" s="105">
        <v>55</v>
      </c>
      <c r="D78" s="105">
        <v>104</v>
      </c>
      <c r="E78" s="78"/>
      <c r="F78" s="105" t="s">
        <v>1431</v>
      </c>
      <c r="G78" s="105">
        <v>24</v>
      </c>
      <c r="H78" s="105">
        <v>37500</v>
      </c>
      <c r="I78" s="105">
        <v>10</v>
      </c>
      <c r="V78" s="1" t="str">
        <f t="shared" si="5"/>
        <v>Arc d'Apollon (Arme) :  (Pan/Minos/Crios) / Lv 55 / Base : 104</v>
      </c>
    </row>
    <row r="79" spans="1:22" ht="11.25">
      <c r="A79" s="28" t="s">
        <v>1314</v>
      </c>
      <c r="B79" s="104" t="s">
        <v>482</v>
      </c>
      <c r="C79" s="104">
        <v>80</v>
      </c>
      <c r="D79" s="104">
        <v>103</v>
      </c>
      <c r="E79" s="135"/>
      <c r="F79" s="104" t="s">
        <v>1435</v>
      </c>
      <c r="G79" s="104">
        <v>18</v>
      </c>
      <c r="H79" s="104">
        <v>52500</v>
      </c>
      <c r="I79" s="104">
        <v>10</v>
      </c>
      <c r="L79" s="105"/>
      <c r="V79" s="1" t="str">
        <f t="shared" si="5"/>
        <v>Armure Eclatante (Armure) :  (Héra/Héphaïstos/Astéria) / Lv 80 / Base : 103</v>
      </c>
    </row>
    <row r="80" spans="1:22" ht="11.25">
      <c r="A80" s="28" t="s">
        <v>1339</v>
      </c>
      <c r="B80" s="104" t="s">
        <v>483</v>
      </c>
      <c r="C80" s="104">
        <v>80</v>
      </c>
      <c r="D80" s="104">
        <v>134</v>
      </c>
      <c r="E80" s="135"/>
      <c r="F80" s="104" t="s">
        <v>1434</v>
      </c>
      <c r="G80" s="104">
        <v>24</v>
      </c>
      <c r="H80" s="104">
        <v>52500</v>
      </c>
      <c r="I80" s="104">
        <v>10</v>
      </c>
      <c r="L80" s="105"/>
      <c r="V80" s="1" t="str">
        <f t="shared" si="5"/>
        <v>Pavot d'Hypnos (Arme) :  (Zeus/Poséidon/Athéna) / Lv 80 / Base : 134</v>
      </c>
    </row>
    <row r="81" spans="1:22" ht="11.25">
      <c r="A81" s="85" t="s">
        <v>1366</v>
      </c>
      <c r="B81" s="104" t="s">
        <v>483</v>
      </c>
      <c r="C81" s="104">
        <v>80</v>
      </c>
      <c r="D81" s="104">
        <v>138</v>
      </c>
      <c r="E81" s="135"/>
      <c r="F81" s="104" t="s">
        <v>22</v>
      </c>
      <c r="G81" s="104">
        <v>28</v>
      </c>
      <c r="H81" s="104">
        <v>63000</v>
      </c>
      <c r="I81" s="104">
        <v>20</v>
      </c>
      <c r="L81" s="105"/>
      <c r="V81" s="1" t="str">
        <f t="shared" si="5"/>
        <v>Laevateinn (Arme) :  (Legion) / Lv 80 / Base : 138</v>
      </c>
    </row>
    <row r="82" spans="1:22" ht="11.25">
      <c r="A82" s="27" t="s">
        <v>1298</v>
      </c>
      <c r="B82" s="133" t="s">
        <v>486</v>
      </c>
      <c r="C82" s="133">
        <v>80</v>
      </c>
      <c r="D82" s="133">
        <v>230</v>
      </c>
      <c r="E82" s="136"/>
      <c r="F82" s="133" t="s">
        <v>488</v>
      </c>
      <c r="G82" s="133">
        <v>20</v>
      </c>
      <c r="H82" s="133">
        <v>31500</v>
      </c>
      <c r="I82" s="133"/>
      <c r="L82" s="105"/>
      <c r="V82" s="1" t="str">
        <f t="shared" si="5"/>
        <v>Nymphe Contralto (Cor) :  (Stage Fini) / Lv 80 / Base : 230</v>
      </c>
    </row>
    <row r="83" spans="1:22" ht="11.25">
      <c r="A83" s="29" t="s">
        <v>1271</v>
      </c>
      <c r="B83" s="20" t="s">
        <v>482</v>
      </c>
      <c r="C83" s="20">
        <v>72</v>
      </c>
      <c r="D83" s="20">
        <v>95</v>
      </c>
      <c r="E83" s="77" t="s">
        <v>1342</v>
      </c>
      <c r="F83" s="20" t="s">
        <v>1467</v>
      </c>
      <c r="G83" s="20">
        <v>18</v>
      </c>
      <c r="H83" s="20">
        <v>47500</v>
      </c>
      <c r="I83" s="20">
        <v>10</v>
      </c>
      <c r="L83" s="105"/>
      <c r="V83" s="1" t="str">
        <f t="shared" si="5"/>
        <v>Armure Enchantée (Armure) : Le Tartare (Téthys) / Lv 72 / Base : 95</v>
      </c>
    </row>
    <row r="84" spans="1:22" ht="11.25">
      <c r="A84" s="29" t="s">
        <v>1294</v>
      </c>
      <c r="B84" s="105" t="s">
        <v>483</v>
      </c>
      <c r="C84" s="105">
        <v>72</v>
      </c>
      <c r="D84" s="105">
        <v>124</v>
      </c>
      <c r="E84" s="78" t="s">
        <v>1342</v>
      </c>
      <c r="F84" s="104" t="s">
        <v>1469</v>
      </c>
      <c r="G84" s="105">
        <v>24</v>
      </c>
      <c r="H84" s="105">
        <v>47500</v>
      </c>
      <c r="I84" s="105">
        <v>10</v>
      </c>
      <c r="L84" s="105"/>
      <c r="V84" s="1" t="str">
        <f t="shared" si="5"/>
        <v>Epée d'Hadès (Arme) : Le Tartare (Théia) / Lv 72 / Base : 124</v>
      </c>
    </row>
    <row r="85" spans="1:22" ht="11.25">
      <c r="A85" s="47" t="s">
        <v>1265</v>
      </c>
      <c r="B85" s="104" t="s">
        <v>482</v>
      </c>
      <c r="C85" s="104">
        <v>80</v>
      </c>
      <c r="D85" s="104">
        <v>100</v>
      </c>
      <c r="E85" s="78" t="s">
        <v>1342</v>
      </c>
      <c r="F85" s="104" t="s">
        <v>1483</v>
      </c>
      <c r="G85" s="104">
        <v>15</v>
      </c>
      <c r="H85" s="104">
        <v>31500</v>
      </c>
      <c r="I85" s="104">
        <v>5</v>
      </c>
      <c r="L85" s="105"/>
      <c r="V85" s="1" t="str">
        <f t="shared" si="5"/>
        <v>Armure de Vainqueur (Armure) : Le Tartare (Phébé) / Lv 80 / Base : 100</v>
      </c>
    </row>
    <row r="86" spans="1:22" ht="11.25">
      <c r="A86" s="28" t="s">
        <v>1497</v>
      </c>
      <c r="B86" s="104" t="s">
        <v>482</v>
      </c>
      <c r="C86" s="104">
        <v>85</v>
      </c>
      <c r="D86" s="104">
        <v>238</v>
      </c>
      <c r="E86" s="78" t="s">
        <v>1342</v>
      </c>
      <c r="F86" s="104" t="s">
        <v>1484</v>
      </c>
      <c r="G86" s="104">
        <v>18</v>
      </c>
      <c r="H86" s="104">
        <v>50000</v>
      </c>
      <c r="I86" s="104">
        <v>10</v>
      </c>
      <c r="L86" s="105"/>
      <c r="V86" s="1" t="str">
        <f t="shared" si="5"/>
        <v>Armure de Hiérophante (Armure) : Le Tartare (Mnémosyne) / Lv 85 / Base : 238</v>
      </c>
    </row>
    <row r="87" spans="1:22" ht="11.25">
      <c r="A87" s="85" t="s">
        <v>1442</v>
      </c>
      <c r="B87" s="104" t="s">
        <v>482</v>
      </c>
      <c r="C87" s="104">
        <v>80</v>
      </c>
      <c r="D87" s="104">
        <v>231</v>
      </c>
      <c r="E87" s="78" t="s">
        <v>1342</v>
      </c>
      <c r="F87" s="104" t="s">
        <v>1485</v>
      </c>
      <c r="G87" s="104">
        <v>21</v>
      </c>
      <c r="H87" s="105">
        <v>60000</v>
      </c>
      <c r="I87" s="105">
        <v>20</v>
      </c>
      <c r="L87" s="105"/>
      <c r="V87" s="1" t="str">
        <f t="shared" si="5"/>
        <v>Armure d'Arès (Armure) : Le Tartare (Thémis) / Lv 80 / Base : 231</v>
      </c>
    </row>
    <row r="88" spans="1:22" ht="11.25">
      <c r="A88" s="85" t="s">
        <v>1442</v>
      </c>
      <c r="B88" s="104" t="s">
        <v>482</v>
      </c>
      <c r="C88" s="104">
        <v>80</v>
      </c>
      <c r="D88" s="104">
        <v>231</v>
      </c>
      <c r="E88" s="78" t="s">
        <v>1342</v>
      </c>
      <c r="F88" s="104" t="s">
        <v>22</v>
      </c>
      <c r="G88" s="104">
        <v>21</v>
      </c>
      <c r="H88" s="105">
        <v>60000</v>
      </c>
      <c r="I88" s="105">
        <v>20</v>
      </c>
      <c r="L88" s="105"/>
      <c r="V88" s="1" t="str">
        <f t="shared" si="5"/>
        <v>Armure d'Arès (Armure) : Le Tartare (Legion) / Lv 80 / Base : 231</v>
      </c>
    </row>
    <row r="89" spans="1:22" ht="11.25">
      <c r="A89" s="27" t="s">
        <v>1265</v>
      </c>
      <c r="B89" s="133" t="s">
        <v>482</v>
      </c>
      <c r="C89" s="133">
        <v>80</v>
      </c>
      <c r="D89" s="133">
        <v>100</v>
      </c>
      <c r="E89" s="76" t="s">
        <v>1342</v>
      </c>
      <c r="F89" s="133" t="s">
        <v>488</v>
      </c>
      <c r="G89" s="133">
        <v>15</v>
      </c>
      <c r="H89" s="133">
        <v>31500</v>
      </c>
      <c r="I89" s="133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V89" s="1" t="str">
        <f t="shared" si="5"/>
        <v>Armure de Vainqueur (Armure) : Le Tartare (Stage Fini) / Lv 80 / Base : 100</v>
      </c>
    </row>
    <row r="90" spans="1:22" ht="11.25">
      <c r="A90" s="83" t="s">
        <v>1326</v>
      </c>
      <c r="B90" s="20" t="s">
        <v>483</v>
      </c>
      <c r="C90" s="20">
        <v>80</v>
      </c>
      <c r="D90" s="20">
        <v>130</v>
      </c>
      <c r="E90" s="77" t="s">
        <v>1343</v>
      </c>
      <c r="F90" s="20" t="s">
        <v>1586</v>
      </c>
      <c r="G90" s="20">
        <v>20</v>
      </c>
      <c r="H90" s="20">
        <v>31500</v>
      </c>
      <c r="I90" s="104">
        <v>5</v>
      </c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V90" s="1" t="str">
        <f t="shared" si="5"/>
        <v>Brisingamen (Arme) : Ragnarök (Freyja) / Lv 80 / Base : 130</v>
      </c>
    </row>
    <row r="91" spans="1:22" ht="11.25">
      <c r="A91" s="29" t="s">
        <v>1258</v>
      </c>
      <c r="B91" s="105" t="s">
        <v>483</v>
      </c>
      <c r="C91" s="105">
        <v>63</v>
      </c>
      <c r="D91" s="105">
        <v>114</v>
      </c>
      <c r="E91" s="78" t="s">
        <v>1343</v>
      </c>
      <c r="F91" s="104" t="s">
        <v>1547</v>
      </c>
      <c r="G91" s="105">
        <v>24</v>
      </c>
      <c r="H91" s="105">
        <v>42500</v>
      </c>
      <c r="I91" s="105">
        <v>10</v>
      </c>
      <c r="L91" s="105"/>
      <c r="V91" s="1" t="str">
        <f t="shared" si="5"/>
        <v>Faux de la Mort (Arme) : Ragnarök (Locki) / Lv 63 / Base : 114</v>
      </c>
    </row>
    <row r="92" spans="1:22" ht="11.25">
      <c r="A92" s="29" t="s">
        <v>1271</v>
      </c>
      <c r="B92" s="105" t="s">
        <v>482</v>
      </c>
      <c r="C92" s="105">
        <v>72</v>
      </c>
      <c r="D92" s="105">
        <v>95</v>
      </c>
      <c r="E92" s="139" t="s">
        <v>1343</v>
      </c>
      <c r="F92" s="104" t="s">
        <v>1548</v>
      </c>
      <c r="G92" s="105">
        <v>18</v>
      </c>
      <c r="H92" s="105">
        <v>47500</v>
      </c>
      <c r="I92" s="105">
        <v>10</v>
      </c>
      <c r="L92" s="105"/>
      <c r="V92" s="1" t="str">
        <f t="shared" si="5"/>
        <v>Armure Enchantée (Armure) : Ragnarök (Balder) / Lv 72 / Base : 95</v>
      </c>
    </row>
    <row r="93" spans="1:22" ht="11.25">
      <c r="A93" s="29" t="s">
        <v>1447</v>
      </c>
      <c r="B93" s="105" t="s">
        <v>483</v>
      </c>
      <c r="C93" s="105">
        <v>85</v>
      </c>
      <c r="D93" s="105">
        <v>244</v>
      </c>
      <c r="E93" s="86" t="s">
        <v>1343</v>
      </c>
      <c r="F93" s="105" t="s">
        <v>1592</v>
      </c>
      <c r="G93" s="105">
        <v>24</v>
      </c>
      <c r="H93" s="105">
        <v>60000</v>
      </c>
      <c r="I93" s="105">
        <v>10</v>
      </c>
      <c r="L93" s="105"/>
      <c r="V93" s="1" t="str">
        <f t="shared" si="5"/>
        <v>Trident de Poséidon (Arme) : Ragnarök (Hödr) / Lv 85 / Base : 244</v>
      </c>
    </row>
    <row r="94" spans="1:22" ht="11.25">
      <c r="A94" s="44" t="s">
        <v>1445</v>
      </c>
      <c r="B94" s="105" t="s">
        <v>483</v>
      </c>
      <c r="C94" s="105">
        <v>85</v>
      </c>
      <c r="D94" s="105">
        <v>248</v>
      </c>
      <c r="E94" s="86" t="s">
        <v>1343</v>
      </c>
      <c r="F94" s="105" t="s">
        <v>1446</v>
      </c>
      <c r="G94" s="105">
        <v>28</v>
      </c>
      <c r="H94" s="105">
        <v>50000</v>
      </c>
      <c r="I94" s="105">
        <v>20</v>
      </c>
      <c r="L94" s="105"/>
      <c r="V94" s="1" t="str">
        <f t="shared" si="5"/>
        <v>Mjollnir (Arme) : Ragnarök (Forseti) / Lv 85 / Base : 248</v>
      </c>
    </row>
    <row r="95" spans="1:22" ht="11.25">
      <c r="A95" s="44" t="s">
        <v>1445</v>
      </c>
      <c r="B95" s="105" t="s">
        <v>483</v>
      </c>
      <c r="C95" s="105">
        <v>85</v>
      </c>
      <c r="D95" s="105">
        <v>248</v>
      </c>
      <c r="E95" s="86" t="s">
        <v>1343</v>
      </c>
      <c r="F95" s="105" t="s">
        <v>22</v>
      </c>
      <c r="G95" s="105">
        <v>28</v>
      </c>
      <c r="H95" s="105">
        <v>50000</v>
      </c>
      <c r="I95" s="105">
        <v>20</v>
      </c>
      <c r="L95" s="105"/>
      <c r="V95" s="1" t="str">
        <f t="shared" si="5"/>
        <v>Mjollnir (Arme) : Ragnarök (Legion) / Lv 85 / Base : 248</v>
      </c>
    </row>
    <row r="96" spans="1:22" ht="11.25">
      <c r="A96" s="117" t="s">
        <v>1611</v>
      </c>
      <c r="B96" s="133" t="s">
        <v>485</v>
      </c>
      <c r="C96" s="133">
        <v>80</v>
      </c>
      <c r="D96" s="133">
        <v>308</v>
      </c>
      <c r="E96" s="118" t="s">
        <v>1343</v>
      </c>
      <c r="F96" s="133" t="s">
        <v>488</v>
      </c>
      <c r="G96" s="133">
        <v>48</v>
      </c>
      <c r="H96" s="133">
        <v>31500</v>
      </c>
      <c r="I96" s="133"/>
      <c r="L96" s="105"/>
      <c r="V96" s="1" t="str">
        <f t="shared" si="5"/>
        <v>Dragon Macédonien (Cheval) : Ragnarök (Stage Fini) / Lv 80 / Base : 308</v>
      </c>
    </row>
    <row r="97" spans="1:22" ht="11.25">
      <c r="A97" s="154" t="s">
        <v>1715</v>
      </c>
      <c r="B97" s="104" t="s">
        <v>1722</v>
      </c>
      <c r="C97" s="104">
        <v>85</v>
      </c>
      <c r="D97" s="104">
        <v>300</v>
      </c>
      <c r="E97" s="139" t="s">
        <v>1437</v>
      </c>
      <c r="F97" s="104" t="s">
        <v>1666</v>
      </c>
      <c r="G97" s="104"/>
      <c r="H97" s="104"/>
      <c r="I97" s="104">
        <v>5</v>
      </c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V97" s="1" t="str">
        <f t="shared" si="5"/>
        <v>Bouclier de Bronze (Armement (Def Mag)) : Au-Delà du Désert (Apep) / Lv 85 / Base : 300</v>
      </c>
    </row>
    <row r="98" spans="1:22" ht="11.25">
      <c r="A98" s="154" t="s">
        <v>1717</v>
      </c>
      <c r="B98" s="104" t="s">
        <v>1723</v>
      </c>
      <c r="C98" s="104">
        <v>85</v>
      </c>
      <c r="D98" s="104">
        <v>100</v>
      </c>
      <c r="E98" s="139" t="s">
        <v>1437</v>
      </c>
      <c r="F98" s="104" t="s">
        <v>1667</v>
      </c>
      <c r="G98" s="104"/>
      <c r="H98" s="104"/>
      <c r="I98" s="104">
        <v>5</v>
      </c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V98" s="1" t="str">
        <f t="shared" si="5"/>
        <v>Pierre Elémentaire (Armement (Def Elem)) : Au-Delà du Désert (Bastet) / Lv 85 / Base : 100</v>
      </c>
    </row>
    <row r="99" spans="1:22" ht="11.25">
      <c r="A99" s="154" t="s">
        <v>1716</v>
      </c>
      <c r="B99" s="104" t="s">
        <v>1724</v>
      </c>
      <c r="C99" s="104">
        <v>85</v>
      </c>
      <c r="D99" s="104">
        <v>200</v>
      </c>
      <c r="E99" s="139" t="s">
        <v>1437</v>
      </c>
      <c r="F99" s="104" t="s">
        <v>1668</v>
      </c>
      <c r="G99" s="104"/>
      <c r="H99" s="104"/>
      <c r="I99" s="104">
        <v>5</v>
      </c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V99" s="1" t="str">
        <f t="shared" si="5"/>
        <v>Char d'Oinomaos (Armement (Def Phys)) : Au-Delà du Désert (Sobek) / Lv 85 / Base : 200</v>
      </c>
    </row>
    <row r="100" spans="1:22" ht="11.25">
      <c r="A100" s="154" t="s">
        <v>1718</v>
      </c>
      <c r="B100" s="104" t="s">
        <v>1725</v>
      </c>
      <c r="C100" s="104">
        <v>85</v>
      </c>
      <c r="D100" s="104">
        <v>300</v>
      </c>
      <c r="E100" s="139" t="s">
        <v>1437</v>
      </c>
      <c r="F100" s="104" t="s">
        <v>1670</v>
      </c>
      <c r="G100" s="104"/>
      <c r="H100" s="104"/>
      <c r="I100" s="104">
        <v>5</v>
      </c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V100" s="1" t="str">
        <f t="shared" si="5"/>
        <v>Lance de Bronze (Armement (Atk Phys)) : Au-Delà du Désert (Heqet) / Lv 85 / Base : 300</v>
      </c>
    </row>
    <row r="101" spans="1:22" ht="11.25">
      <c r="A101" s="154" t="s">
        <v>1719</v>
      </c>
      <c r="B101" s="104" t="s">
        <v>1726</v>
      </c>
      <c r="C101" s="104">
        <v>85</v>
      </c>
      <c r="D101" s="104">
        <v>180</v>
      </c>
      <c r="E101" s="139" t="s">
        <v>1437</v>
      </c>
      <c r="F101" s="104" t="s">
        <v>1671</v>
      </c>
      <c r="G101" s="104"/>
      <c r="H101" s="104"/>
      <c r="I101" s="104">
        <v>5</v>
      </c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V101" s="1" t="str">
        <f t="shared" si="5"/>
        <v>Baliste Torque (Armement (Atk Elem)) : Au-Delà du Désert (Khepri) / Lv 85 / Base : 180</v>
      </c>
    </row>
    <row r="102" spans="1:22" ht="11.25">
      <c r="A102" s="44" t="s">
        <v>1353</v>
      </c>
      <c r="B102" s="105" t="s">
        <v>483</v>
      </c>
      <c r="C102" s="105">
        <v>72</v>
      </c>
      <c r="D102" s="105">
        <v>128</v>
      </c>
      <c r="E102" s="139" t="s">
        <v>1437</v>
      </c>
      <c r="F102" s="104" t="s">
        <v>1600</v>
      </c>
      <c r="G102" s="105">
        <v>28</v>
      </c>
      <c r="H102" s="105">
        <v>57000</v>
      </c>
      <c r="I102" s="105">
        <v>20</v>
      </c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V102" s="1" t="str">
        <f t="shared" si="5"/>
        <v>Eclair (Arme) : Au-Delà du Désert (Khnum) / Lv 72 / Base : 128</v>
      </c>
    </row>
    <row r="103" spans="1:22" ht="11.25">
      <c r="A103" s="155" t="s">
        <v>1721</v>
      </c>
      <c r="B103" s="104" t="s">
        <v>1727</v>
      </c>
      <c r="C103" s="104">
        <v>85</v>
      </c>
      <c r="D103" s="104">
        <v>500</v>
      </c>
      <c r="E103" s="86" t="s">
        <v>1437</v>
      </c>
      <c r="F103" s="104" t="s">
        <v>1449</v>
      </c>
      <c r="G103" s="104"/>
      <c r="H103" s="104"/>
      <c r="I103" s="105">
        <v>5</v>
      </c>
      <c r="L103" s="105"/>
      <c r="V103" s="1" t="str">
        <f t="shared" si="5"/>
        <v>Lyre d'Hermès (Armement (Atk Mag)) : Au-Delà du Désert (Sati) / Lv 85 / Base : 500</v>
      </c>
    </row>
    <row r="104" spans="1:22" ht="11.25">
      <c r="A104" s="155" t="s">
        <v>1720</v>
      </c>
      <c r="B104" s="104" t="s">
        <v>1728</v>
      </c>
      <c r="C104" s="104">
        <v>85</v>
      </c>
      <c r="D104" s="104">
        <v>500</v>
      </c>
      <c r="E104" s="86" t="s">
        <v>1437</v>
      </c>
      <c r="F104" s="104" t="s">
        <v>1450</v>
      </c>
      <c r="G104" s="104"/>
      <c r="H104" s="104"/>
      <c r="I104" s="104">
        <v>5</v>
      </c>
      <c r="L104" s="105"/>
      <c r="V104" s="1" t="str">
        <f t="shared" si="5"/>
        <v>Drapeau du Loup (Armement (Faculté)) : Au-Delà du Désert (Sekhmet) / Lv 85 / Base : 500</v>
      </c>
    </row>
    <row r="105" spans="1:22" ht="11.25">
      <c r="A105" s="85" t="s">
        <v>1442</v>
      </c>
      <c r="B105" s="104" t="s">
        <v>482</v>
      </c>
      <c r="C105" s="104">
        <v>80</v>
      </c>
      <c r="D105" s="104">
        <v>231</v>
      </c>
      <c r="E105" s="86" t="s">
        <v>1437</v>
      </c>
      <c r="F105" s="104" t="s">
        <v>1451</v>
      </c>
      <c r="G105" s="104">
        <v>21</v>
      </c>
      <c r="H105" s="105">
        <v>60000</v>
      </c>
      <c r="I105" s="105">
        <v>20</v>
      </c>
      <c r="L105" s="105"/>
      <c r="V105" s="1" t="str">
        <f t="shared" si="5"/>
        <v>Armure d'Arès (Armure) : Au-Delà du Désert (Selket) / Lv 80 / Base : 231</v>
      </c>
    </row>
    <row r="106" spans="1:22" ht="11.25">
      <c r="A106" s="85" t="s">
        <v>1442</v>
      </c>
      <c r="B106" s="104" t="s">
        <v>482</v>
      </c>
      <c r="C106" s="104">
        <v>80</v>
      </c>
      <c r="D106" s="104">
        <v>231</v>
      </c>
      <c r="E106" s="86" t="s">
        <v>1437</v>
      </c>
      <c r="F106" s="104" t="s">
        <v>22</v>
      </c>
      <c r="G106" s="104">
        <v>21</v>
      </c>
      <c r="H106" s="105">
        <v>60000</v>
      </c>
      <c r="I106" s="105">
        <v>20</v>
      </c>
      <c r="L106" s="105"/>
      <c r="V106" s="1" t="str">
        <f t="shared" si="5"/>
        <v>Armure d'Arès (Armure) : Au-Delà du Désert (Legion) / Lv 80 / Base : 231</v>
      </c>
    </row>
    <row r="107" spans="1:22" ht="11.25">
      <c r="A107" s="82" t="s">
        <v>1314</v>
      </c>
      <c r="B107" s="133" t="s">
        <v>482</v>
      </c>
      <c r="C107" s="133">
        <v>80</v>
      </c>
      <c r="D107" s="133">
        <v>103</v>
      </c>
      <c r="E107" s="118" t="s">
        <v>1437</v>
      </c>
      <c r="F107" s="133" t="s">
        <v>488</v>
      </c>
      <c r="G107" s="133">
        <v>18</v>
      </c>
      <c r="H107" s="133">
        <v>52500</v>
      </c>
      <c r="I107" s="133"/>
      <c r="L107" s="105"/>
      <c r="V107" s="1" t="str">
        <f t="shared" si="5"/>
        <v>Armure Eclatante (Armure) : Au-Delà du Désert (Stage Fini) / Lv 80 / Base : 103</v>
      </c>
    </row>
    <row r="108" spans="1:22" ht="11.25">
      <c r="A108" s="21" t="s">
        <v>1707</v>
      </c>
      <c r="B108" s="104" t="s">
        <v>1724</v>
      </c>
      <c r="C108" s="104">
        <v>90</v>
      </c>
      <c r="D108" s="104">
        <v>200</v>
      </c>
      <c r="E108" s="139" t="s">
        <v>1452</v>
      </c>
      <c r="F108" s="104" t="s">
        <v>1672</v>
      </c>
      <c r="G108" s="104"/>
      <c r="H108" s="104">
        <v>2000</v>
      </c>
      <c r="I108" s="104">
        <v>5</v>
      </c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V108" s="1" t="str">
        <f t="shared" si="5"/>
        <v>Bouclier Grec (Armement (Def Phys)) : La Rage des Valkyries (Rathgrith) / Lv 90 / Base : 200</v>
      </c>
    </row>
    <row r="109" spans="1:22" ht="11.25">
      <c r="A109" s="21" t="s">
        <v>1705</v>
      </c>
      <c r="B109" s="104" t="s">
        <v>1723</v>
      </c>
      <c r="C109" s="104">
        <v>90</v>
      </c>
      <c r="D109" s="104">
        <v>100</v>
      </c>
      <c r="E109" s="86" t="s">
        <v>1452</v>
      </c>
      <c r="F109" s="104" t="s">
        <v>1673</v>
      </c>
      <c r="G109" s="104"/>
      <c r="H109" s="104">
        <v>2000</v>
      </c>
      <c r="I109" s="104">
        <v>5</v>
      </c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V109" s="1" t="str">
        <f t="shared" si="5"/>
        <v>Char d'Achille (Armement (Def Elem)) : La Rage des Valkyries (Olrun) / Lv 90 / Base : 100</v>
      </c>
    </row>
    <row r="110" spans="1:22" ht="11.25">
      <c r="A110" s="21" t="s">
        <v>1706</v>
      </c>
      <c r="B110" s="104" t="s">
        <v>1722</v>
      </c>
      <c r="C110" s="104">
        <v>90</v>
      </c>
      <c r="D110" s="104">
        <v>300</v>
      </c>
      <c r="E110" s="86" t="s">
        <v>1452</v>
      </c>
      <c r="F110" s="104" t="s">
        <v>1674</v>
      </c>
      <c r="G110" s="104"/>
      <c r="H110" s="104">
        <v>2000</v>
      </c>
      <c r="I110" s="104">
        <v>5</v>
      </c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V110" s="1" t="str">
        <f t="shared" si="5"/>
        <v>Obsidienne (Armement (Def Mag)) : La Rage des Valkyries (Herfjotur) / Lv 90 / Base : 300</v>
      </c>
    </row>
    <row r="111" spans="1:22" ht="11.25">
      <c r="A111" s="21" t="s">
        <v>1708</v>
      </c>
      <c r="B111" s="104" t="s">
        <v>1727</v>
      </c>
      <c r="C111" s="104">
        <v>90</v>
      </c>
      <c r="D111" s="104">
        <v>500</v>
      </c>
      <c r="E111" s="86" t="s">
        <v>1452</v>
      </c>
      <c r="F111" s="104" t="s">
        <v>1675</v>
      </c>
      <c r="G111" s="104"/>
      <c r="H111" s="104">
        <v>2000</v>
      </c>
      <c r="I111" s="104">
        <v>5</v>
      </c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V111" s="1" t="str">
        <f t="shared" si="5"/>
        <v>Lyre de Terpandre (Armement (Atk Mag)) : La Rage des Valkyries (Hrist) / Lv 90 / Base : 500</v>
      </c>
    </row>
    <row r="112" spans="1:22" ht="11.25">
      <c r="A112" s="21" t="s">
        <v>1709</v>
      </c>
      <c r="B112" s="104" t="s">
        <v>1726</v>
      </c>
      <c r="C112" s="104">
        <v>90</v>
      </c>
      <c r="D112" s="104">
        <v>180</v>
      </c>
      <c r="E112" s="86" t="s">
        <v>1452</v>
      </c>
      <c r="F112" s="104" t="s">
        <v>1676</v>
      </c>
      <c r="G112" s="104"/>
      <c r="H112" s="104">
        <v>2000</v>
      </c>
      <c r="I112" s="104">
        <v>5</v>
      </c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V112" s="1" t="str">
        <f t="shared" si="5"/>
        <v>Baliste Multiple (Armement (Atk Elem)) : La Rage des Valkyries (Hlokk) / Lv 90 / Base : 180</v>
      </c>
    </row>
    <row r="113" spans="1:22" ht="11.25">
      <c r="A113" s="21" t="s">
        <v>1710</v>
      </c>
      <c r="B113" s="104" t="s">
        <v>1725</v>
      </c>
      <c r="C113" s="104">
        <v>90</v>
      </c>
      <c r="D113" s="104">
        <v>300</v>
      </c>
      <c r="E113" s="86" t="s">
        <v>1452</v>
      </c>
      <c r="F113" s="104" t="s">
        <v>1677</v>
      </c>
      <c r="G113" s="104"/>
      <c r="H113" s="104">
        <v>2000</v>
      </c>
      <c r="I113" s="104">
        <v>5</v>
      </c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V113" s="1" t="str">
        <f t="shared" si="5"/>
        <v>Lance Grecque (Armement (Atk Phys)) : La Rage des Valkyries (Hlathguth) / Lv 90 / Base : 300</v>
      </c>
    </row>
    <row r="114" spans="1:22" ht="11.25">
      <c r="A114" s="26" t="s">
        <v>1326</v>
      </c>
      <c r="B114" s="104" t="s">
        <v>483</v>
      </c>
      <c r="C114" s="104">
        <v>80</v>
      </c>
      <c r="D114" s="104">
        <v>130</v>
      </c>
      <c r="E114" s="86" t="s">
        <v>1452</v>
      </c>
      <c r="F114" s="104" t="s">
        <v>1646</v>
      </c>
      <c r="G114" s="104">
        <v>20</v>
      </c>
      <c r="H114" s="104">
        <v>31500</v>
      </c>
      <c r="I114" s="104">
        <v>10</v>
      </c>
      <c r="L114" s="105"/>
      <c r="V114" s="1" t="str">
        <f t="shared" si="5"/>
        <v>Brisingamen (Arme) : La Rage des Valkyries (Hervor) / Lv 80 / Base : 130</v>
      </c>
    </row>
    <row r="115" spans="1:22" ht="11.25">
      <c r="A115" s="30" t="s">
        <v>1711</v>
      </c>
      <c r="B115" s="104" t="s">
        <v>1728</v>
      </c>
      <c r="C115" s="105">
        <v>90</v>
      </c>
      <c r="D115" s="105">
        <v>500</v>
      </c>
      <c r="E115" s="86" t="s">
        <v>1452</v>
      </c>
      <c r="F115" s="104" t="s">
        <v>1453</v>
      </c>
      <c r="G115" s="105"/>
      <c r="H115" s="104">
        <v>2000</v>
      </c>
      <c r="I115" s="104">
        <v>5</v>
      </c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V115" s="1" t="str">
        <f t="shared" si="5"/>
        <v>Drapeau de l'Ours (Armement (Faculté)) : La Rage des Valkyries (Hildr) / Lv 90 / Base : 500</v>
      </c>
    </row>
    <row r="116" spans="1:22" ht="11.25">
      <c r="A116" s="29" t="s">
        <v>1447</v>
      </c>
      <c r="B116" s="105" t="s">
        <v>483</v>
      </c>
      <c r="C116" s="105">
        <v>85</v>
      </c>
      <c r="D116" s="105">
        <v>244</v>
      </c>
      <c r="E116" s="86" t="s">
        <v>1452</v>
      </c>
      <c r="F116" s="105" t="s">
        <v>1454</v>
      </c>
      <c r="G116" s="105">
        <v>24</v>
      </c>
      <c r="H116" s="105">
        <v>60000</v>
      </c>
      <c r="I116" s="105">
        <v>10</v>
      </c>
      <c r="L116" s="105"/>
      <c r="V116" s="1" t="str">
        <f t="shared" si="5"/>
        <v>Trident de Poséidon (Arme) : La Rage des Valkyries (Verdandi) / Lv 85 / Base : 244</v>
      </c>
    </row>
    <row r="117" spans="1:22" ht="11.25">
      <c r="A117" s="44" t="s">
        <v>1445</v>
      </c>
      <c r="B117" s="105" t="s">
        <v>483</v>
      </c>
      <c r="C117" s="105">
        <v>85</v>
      </c>
      <c r="D117" s="105">
        <v>248</v>
      </c>
      <c r="E117" s="86" t="s">
        <v>1452</v>
      </c>
      <c r="F117" s="105" t="s">
        <v>1455</v>
      </c>
      <c r="G117" s="105">
        <v>28</v>
      </c>
      <c r="H117" s="105">
        <v>50000</v>
      </c>
      <c r="I117" s="105">
        <v>20</v>
      </c>
      <c r="L117" s="105"/>
      <c r="V117" s="1" t="str">
        <f t="shared" si="5"/>
        <v>Mjollnir (Arme) : La Rage des Valkyries (Urd) / Lv 85 / Base : 248</v>
      </c>
    </row>
    <row r="118" spans="1:22" ht="11.25">
      <c r="A118" s="44" t="s">
        <v>1445</v>
      </c>
      <c r="B118" s="105" t="s">
        <v>483</v>
      </c>
      <c r="C118" s="105">
        <v>85</v>
      </c>
      <c r="D118" s="105">
        <v>248</v>
      </c>
      <c r="E118" s="86" t="s">
        <v>1452</v>
      </c>
      <c r="F118" s="105" t="s">
        <v>22</v>
      </c>
      <c r="G118" s="105">
        <v>28</v>
      </c>
      <c r="H118" s="105">
        <v>50000</v>
      </c>
      <c r="I118" s="105">
        <v>20</v>
      </c>
      <c r="V118" s="1" t="str">
        <f t="shared" si="5"/>
        <v>Mjollnir (Arme) : La Rage des Valkyries (Legion) / Lv 85 / Base : 248</v>
      </c>
    </row>
    <row r="119" spans="1:22" ht="11.25">
      <c r="A119" s="82" t="s">
        <v>1665</v>
      </c>
      <c r="B119" s="133" t="s">
        <v>484</v>
      </c>
      <c r="C119" s="133">
        <v>72</v>
      </c>
      <c r="D119" s="133">
        <v>57</v>
      </c>
      <c r="E119" s="118" t="s">
        <v>1452</v>
      </c>
      <c r="F119" s="133" t="s">
        <v>488</v>
      </c>
      <c r="G119" s="133">
        <v>11</v>
      </c>
      <c r="H119" s="133">
        <v>9500</v>
      </c>
      <c r="I119" s="133"/>
      <c r="V119" s="1" t="str">
        <f t="shared" si="5"/>
        <v>La Clé de Salomon (Livre) : La Rage des Valkyries (Stage Fini) / Lv 72 / Base : 57</v>
      </c>
    </row>
    <row r="120" spans="1:22" ht="11.25">
      <c r="A120" s="23" t="s">
        <v>1712</v>
      </c>
      <c r="B120" s="104" t="s">
        <v>1724</v>
      </c>
      <c r="C120" s="104">
        <v>95</v>
      </c>
      <c r="D120" s="104">
        <v>200</v>
      </c>
      <c r="E120" s="139" t="s">
        <v>1507</v>
      </c>
      <c r="F120" s="104" t="s">
        <v>1679</v>
      </c>
      <c r="G120" s="104"/>
      <c r="H120" s="104"/>
      <c r="I120" s="104">
        <v>5</v>
      </c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V120" s="1" t="str">
        <f t="shared" si="5"/>
        <v>Gloire d'Hector (Armement (Def Phys)) : La Montagne Glacée (Skade) / Lv 95 / Base : 200</v>
      </c>
    </row>
    <row r="121" spans="1:22" ht="11.25">
      <c r="A121" s="23" t="s">
        <v>1678</v>
      </c>
      <c r="B121" s="104" t="s">
        <v>1722</v>
      </c>
      <c r="C121" s="104">
        <v>95</v>
      </c>
      <c r="D121" s="104">
        <v>300</v>
      </c>
      <c r="E121" s="78" t="s">
        <v>1507</v>
      </c>
      <c r="F121" s="104" t="s">
        <v>1680</v>
      </c>
      <c r="G121" s="104"/>
      <c r="H121" s="104"/>
      <c r="I121" s="104">
        <v>5</v>
      </c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V121" s="1" t="str">
        <f t="shared" si="5"/>
        <v>Agate (Armement (Def Mag)) : La Montagne Glacée (Tjatse) / Lv 95 / Base : 300</v>
      </c>
    </row>
    <row r="122" spans="1:22" ht="11.25">
      <c r="A122" s="23" t="s">
        <v>1713</v>
      </c>
      <c r="B122" s="104" t="s">
        <v>1723</v>
      </c>
      <c r="C122" s="104">
        <v>95</v>
      </c>
      <c r="D122" s="104">
        <v>100</v>
      </c>
      <c r="E122" s="78" t="s">
        <v>1507</v>
      </c>
      <c r="F122" s="104" t="s">
        <v>1653</v>
      </c>
      <c r="G122" s="104"/>
      <c r="H122" s="104"/>
      <c r="I122" s="104">
        <v>5</v>
      </c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V122" s="1" t="str">
        <f t="shared" si="5"/>
        <v>Furie d'Arès (Armement (Def Elem)) : La Montagne Glacée (Gronru) / Lv 95 / Base : 100</v>
      </c>
    </row>
    <row r="123" spans="1:22" ht="11.25">
      <c r="A123" s="23" t="s">
        <v>1714</v>
      </c>
      <c r="B123" s="104" t="s">
        <v>1725</v>
      </c>
      <c r="C123" s="104">
        <v>95</v>
      </c>
      <c r="D123" s="104">
        <v>300</v>
      </c>
      <c r="E123" s="78" t="s">
        <v>1507</v>
      </c>
      <c r="F123" s="104" t="s">
        <v>1655</v>
      </c>
      <c r="G123" s="104"/>
      <c r="H123" s="104"/>
      <c r="I123" s="104">
        <v>5</v>
      </c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V123" s="1" t="str">
        <f t="shared" si="5"/>
        <v>Courage d'Hector   (Armement (Atk Phys)) : La Montagne Glacée (Idunn) / Lv 95 / Base : 300</v>
      </c>
    </row>
    <row r="124" spans="1:22" ht="11.25">
      <c r="A124" s="28" t="s">
        <v>1271</v>
      </c>
      <c r="B124" s="104" t="s">
        <v>482</v>
      </c>
      <c r="C124" s="104">
        <v>72</v>
      </c>
      <c r="D124" s="105">
        <v>95</v>
      </c>
      <c r="E124" s="78" t="s">
        <v>1507</v>
      </c>
      <c r="F124" s="105" t="s">
        <v>1656</v>
      </c>
      <c r="G124" s="105">
        <v>18</v>
      </c>
      <c r="H124" s="105">
        <v>47500</v>
      </c>
      <c r="I124" s="105">
        <v>10</v>
      </c>
      <c r="V124" s="1" t="str">
        <f t="shared" si="5"/>
        <v>Armure Enchantée (Armure) : La Montagne Glacée (Vale) / Lv 72 / Base : 95</v>
      </c>
    </row>
    <row r="125" spans="1:22" ht="11.25">
      <c r="A125" s="23" t="s">
        <v>1731</v>
      </c>
      <c r="B125" s="104" t="s">
        <v>1726</v>
      </c>
      <c r="C125" s="104">
        <v>95</v>
      </c>
      <c r="D125" s="105">
        <v>180</v>
      </c>
      <c r="E125" s="128" t="s">
        <v>1507</v>
      </c>
      <c r="F125" s="105" t="s">
        <v>1681</v>
      </c>
      <c r="G125" s="105"/>
      <c r="H125" s="105"/>
      <c r="I125" s="105">
        <v>5</v>
      </c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V125" s="1" t="str">
        <f t="shared" si="5"/>
        <v>Baliste Scorpion (Armement (Atk Elem)) : La Montagne Glacée (Rind) / Lv 95 / Base : 180</v>
      </c>
    </row>
    <row r="126" spans="1:22" ht="11.25">
      <c r="A126" s="23" t="s">
        <v>1729</v>
      </c>
      <c r="B126" s="104" t="s">
        <v>1728</v>
      </c>
      <c r="C126" s="104">
        <v>95</v>
      </c>
      <c r="D126" s="105">
        <v>500</v>
      </c>
      <c r="E126" s="128" t="s">
        <v>1507</v>
      </c>
      <c r="F126" s="105" t="s">
        <v>1682</v>
      </c>
      <c r="G126" s="105"/>
      <c r="H126" s="105"/>
      <c r="I126" s="105">
        <v>5</v>
      </c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V126" s="1" t="str">
        <f t="shared" si="5"/>
        <v>Drapeau de Lion (Armement (Faculté)) : La Montagne Glacée (Gevjon) / Lv 95 / Base : 500</v>
      </c>
    </row>
    <row r="127" spans="1:22" ht="11.25">
      <c r="A127" s="23" t="s">
        <v>1730</v>
      </c>
      <c r="B127" s="104" t="s">
        <v>1727</v>
      </c>
      <c r="C127" s="104">
        <v>95</v>
      </c>
      <c r="D127" s="105">
        <v>500</v>
      </c>
      <c r="E127" s="128" t="s">
        <v>1507</v>
      </c>
      <c r="F127" s="105" t="s">
        <v>1551</v>
      </c>
      <c r="G127" s="105"/>
      <c r="H127" s="105"/>
      <c r="I127" s="105">
        <v>5</v>
      </c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V127" s="1" t="str">
        <f t="shared" si="5"/>
        <v>Mélodie de Sappho (Armement (Atk Mag)) : La Montagne Glacée (Tyr) / Lv 95 / Base : 500</v>
      </c>
    </row>
    <row r="128" spans="1:22" ht="11.25">
      <c r="A128" s="85" t="s">
        <v>1353</v>
      </c>
      <c r="B128" s="105" t="s">
        <v>483</v>
      </c>
      <c r="C128" s="105">
        <v>72</v>
      </c>
      <c r="D128" s="105">
        <v>128</v>
      </c>
      <c r="E128" s="128" t="s">
        <v>1507</v>
      </c>
      <c r="F128" s="104" t="s">
        <v>1311</v>
      </c>
      <c r="G128" s="105">
        <v>28</v>
      </c>
      <c r="H128" s="105">
        <v>57000</v>
      </c>
      <c r="I128" s="105">
        <v>20</v>
      </c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V128" s="1" t="str">
        <f t="shared" si="5"/>
        <v>Eclair (Arme) : La Montagne Glacée (Hel) / Lv 72 / Base : 128</v>
      </c>
    </row>
    <row r="129" spans="1:22" ht="11.25">
      <c r="A129" s="85" t="s">
        <v>1442</v>
      </c>
      <c r="B129" s="104" t="s">
        <v>482</v>
      </c>
      <c r="C129" s="105">
        <v>80</v>
      </c>
      <c r="D129" s="105">
        <v>231</v>
      </c>
      <c r="E129" s="128" t="s">
        <v>1507</v>
      </c>
      <c r="F129" s="105" t="s">
        <v>1510</v>
      </c>
      <c r="G129" s="105">
        <v>21</v>
      </c>
      <c r="H129" s="105">
        <v>60000</v>
      </c>
      <c r="I129" s="105">
        <v>20</v>
      </c>
      <c r="V129" s="1" t="str">
        <f t="shared" si="5"/>
        <v>Armure d'Arès (Armure) : La Montagne Glacée (Siegfried) / Lv 80 / Base : 231</v>
      </c>
    </row>
    <row r="130" spans="1:22" ht="11.25">
      <c r="A130" s="85" t="s">
        <v>1442</v>
      </c>
      <c r="B130" s="104" t="s">
        <v>482</v>
      </c>
      <c r="C130" s="105">
        <v>80</v>
      </c>
      <c r="D130" s="105">
        <v>231</v>
      </c>
      <c r="E130" s="128" t="s">
        <v>1507</v>
      </c>
      <c r="F130" s="105" t="s">
        <v>22</v>
      </c>
      <c r="G130" s="105">
        <v>21</v>
      </c>
      <c r="H130" s="105">
        <v>60000</v>
      </c>
      <c r="I130" s="105">
        <v>20</v>
      </c>
      <c r="V130" s="1" t="str">
        <f t="shared" si="5"/>
        <v>Armure d'Arès (Armure) : La Montagne Glacée (Legion) / Lv 80 / Base : 231</v>
      </c>
    </row>
    <row r="131" spans="1:22" ht="11.25">
      <c r="A131" s="82" t="s">
        <v>1492</v>
      </c>
      <c r="B131" s="133" t="s">
        <v>484</v>
      </c>
      <c r="C131" s="133">
        <v>80</v>
      </c>
      <c r="D131" s="133">
        <v>60</v>
      </c>
      <c r="E131" s="76" t="s">
        <v>1507</v>
      </c>
      <c r="F131" s="133" t="s">
        <v>488</v>
      </c>
      <c r="G131" s="133">
        <v>11</v>
      </c>
      <c r="H131" s="133"/>
      <c r="I131" s="133"/>
      <c r="V131" s="1" t="str">
        <f aca="true" t="shared" si="6" ref="V131:V142">CONCATENATE(A131," (",B131,") : ",E131," (",F131,") / Lv ",C131," / Base : ",D131)</f>
        <v>Chanter's Dusk (Livre) : La Montagne Glacée (Stage Fini) / Lv 80 / Base : 60</v>
      </c>
    </row>
    <row r="132" spans="1:22" ht="11.25">
      <c r="A132" s="26" t="s">
        <v>1732</v>
      </c>
      <c r="B132" s="104" t="s">
        <v>1724</v>
      </c>
      <c r="C132" s="104">
        <v>100</v>
      </c>
      <c r="D132" s="104">
        <v>200</v>
      </c>
      <c r="E132" s="78" t="s">
        <v>1508</v>
      </c>
      <c r="F132" s="104" t="s">
        <v>1686</v>
      </c>
      <c r="G132" s="104"/>
      <c r="H132" s="104"/>
      <c r="I132" s="104">
        <v>5</v>
      </c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V132" s="1" t="str">
        <f t="shared" si="6"/>
        <v>Bouclier d'Achilles (Armement (Def Phys)) : Le Temple Perdu (Tefnut) / Lv 100 / Base : 200</v>
      </c>
    </row>
    <row r="133" spans="1:22" ht="11.25">
      <c r="A133" s="26" t="s">
        <v>1733</v>
      </c>
      <c r="B133" s="104" t="s">
        <v>1723</v>
      </c>
      <c r="C133" s="104">
        <v>100</v>
      </c>
      <c r="D133" s="104">
        <v>100</v>
      </c>
      <c r="E133" s="78" t="s">
        <v>1508</v>
      </c>
      <c r="F133" s="104" t="s">
        <v>1687</v>
      </c>
      <c r="G133" s="104"/>
      <c r="H133" s="104"/>
      <c r="I133" s="104">
        <v>5</v>
      </c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V133" s="1" t="str">
        <f t="shared" si="6"/>
        <v>Char de Poséidon (Armement (Def Elem)) : Le Temple Perdu (Nephthys) / Lv 100 / Base : 100</v>
      </c>
    </row>
    <row r="134" spans="1:22" ht="11.25">
      <c r="A134" s="26" t="s">
        <v>1737</v>
      </c>
      <c r="B134" s="104" t="s">
        <v>1726</v>
      </c>
      <c r="C134" s="104">
        <v>100</v>
      </c>
      <c r="D134" s="104">
        <v>180</v>
      </c>
      <c r="E134" s="78" t="s">
        <v>1508</v>
      </c>
      <c r="F134" s="104" t="s">
        <v>1575</v>
      </c>
      <c r="G134" s="104"/>
      <c r="H134" s="104"/>
      <c r="I134" s="104">
        <v>5</v>
      </c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V134" s="1" t="str">
        <f t="shared" si="6"/>
        <v>Baliste Siège (Armement (Atk Elem)) : Le Temple Perdu (Isis) / Lv 100 / Base : 180</v>
      </c>
    </row>
    <row r="135" spans="1:22" ht="11.25">
      <c r="A135" s="26" t="s">
        <v>1734</v>
      </c>
      <c r="B135" s="104" t="s">
        <v>1727</v>
      </c>
      <c r="C135" s="104">
        <v>100</v>
      </c>
      <c r="D135" s="104">
        <v>500</v>
      </c>
      <c r="E135" s="78" t="s">
        <v>1508</v>
      </c>
      <c r="F135" s="104" t="s">
        <v>1688</v>
      </c>
      <c r="G135" s="104"/>
      <c r="H135" s="104"/>
      <c r="I135" s="104">
        <v>5</v>
      </c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V135" s="1" t="str">
        <f t="shared" si="6"/>
        <v>Lyre d'Apollon (Armement (Atk Mag)) : Le Temple Perdu (Geb) / Lv 100 / Base : 500</v>
      </c>
    </row>
    <row r="136" spans="1:22" ht="11.25">
      <c r="A136" s="26" t="s">
        <v>1735</v>
      </c>
      <c r="B136" s="104" t="s">
        <v>1722</v>
      </c>
      <c r="C136" s="104">
        <v>100</v>
      </c>
      <c r="D136" s="104">
        <v>300</v>
      </c>
      <c r="E136" s="78" t="s">
        <v>1508</v>
      </c>
      <c r="F136" s="104" t="s">
        <v>1689</v>
      </c>
      <c r="G136" s="104"/>
      <c r="H136" s="104"/>
      <c r="I136" s="104">
        <v>5</v>
      </c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V136" s="1" t="str">
        <f t="shared" si="6"/>
        <v>Topaze (Armement (Def Mag)) : Le Temple Perdu (Osiris) / Lv 100 / Base : 300</v>
      </c>
    </row>
    <row r="137" spans="1:22" ht="11.25">
      <c r="A137" s="26" t="s">
        <v>1736</v>
      </c>
      <c r="B137" s="104" t="s">
        <v>1725</v>
      </c>
      <c r="C137" s="104">
        <v>100</v>
      </c>
      <c r="D137" s="104">
        <v>300</v>
      </c>
      <c r="E137" s="78" t="s">
        <v>1508</v>
      </c>
      <c r="F137" s="104" t="s">
        <v>1587</v>
      </c>
      <c r="G137" s="104"/>
      <c r="H137" s="104"/>
      <c r="I137" s="104">
        <v>5</v>
      </c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V137" s="1" t="str">
        <f t="shared" si="6"/>
        <v>Lance d'Achilles (Armement (Atk Phys)) : Le Temple Perdu (Nut) / Lv 100 / Base : 300</v>
      </c>
    </row>
    <row r="138" spans="1:22" ht="11.25">
      <c r="A138" s="85" t="s">
        <v>1442</v>
      </c>
      <c r="B138" s="104" t="s">
        <v>482</v>
      </c>
      <c r="C138" s="104">
        <v>80</v>
      </c>
      <c r="D138" s="104">
        <v>231</v>
      </c>
      <c r="E138" s="78" t="s">
        <v>1508</v>
      </c>
      <c r="F138" s="104" t="s">
        <v>1683</v>
      </c>
      <c r="G138" s="104">
        <v>21</v>
      </c>
      <c r="H138" s="105">
        <v>60000</v>
      </c>
      <c r="I138" s="105">
        <v>20</v>
      </c>
      <c r="V138" s="1" t="str">
        <f t="shared" si="6"/>
        <v>Armure d'Arès (Armure) : Le Temple Perdu (Seth) / Lv 80 / Base : 231</v>
      </c>
    </row>
    <row r="139" spans="1:22" ht="11.25">
      <c r="A139" s="26" t="s">
        <v>1738</v>
      </c>
      <c r="B139" s="104" t="s">
        <v>1728</v>
      </c>
      <c r="C139" s="104">
        <v>100</v>
      </c>
      <c r="D139" s="104">
        <v>500</v>
      </c>
      <c r="E139" s="78" t="s">
        <v>1508</v>
      </c>
      <c r="F139" s="104" t="s">
        <v>1685</v>
      </c>
      <c r="G139" s="104"/>
      <c r="H139" s="105"/>
      <c r="I139" s="105">
        <v>5</v>
      </c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V139" s="1" t="str">
        <f t="shared" si="6"/>
        <v>Drapeau de la Légion du Tonnerre (Armement (Faculté)) : Le Temple Perdu (Shu) / Lv 100 / Base : 500</v>
      </c>
    </row>
    <row r="140" spans="1:22" ht="11.25">
      <c r="A140" s="85" t="s">
        <v>1445</v>
      </c>
      <c r="B140" s="104" t="s">
        <v>483</v>
      </c>
      <c r="C140" s="104">
        <v>85</v>
      </c>
      <c r="D140" s="104">
        <v>248</v>
      </c>
      <c r="E140" s="78" t="s">
        <v>1508</v>
      </c>
      <c r="F140" s="104" t="s">
        <v>1684</v>
      </c>
      <c r="G140" s="104">
        <v>28</v>
      </c>
      <c r="H140" s="105">
        <v>50000</v>
      </c>
      <c r="I140" s="105">
        <v>20</v>
      </c>
      <c r="V140" s="1" t="str">
        <f t="shared" si="6"/>
        <v>Mjollnir (Arme) : Le Temple Perdu (Ra) / Lv 85 / Base : 248</v>
      </c>
    </row>
    <row r="141" spans="1:22" ht="11.25">
      <c r="A141" s="85" t="s">
        <v>1445</v>
      </c>
      <c r="B141" s="104" t="s">
        <v>483</v>
      </c>
      <c r="C141" s="104">
        <v>85</v>
      </c>
      <c r="D141" s="104">
        <v>248</v>
      </c>
      <c r="E141" s="78" t="s">
        <v>1508</v>
      </c>
      <c r="F141" s="104" t="s">
        <v>22</v>
      </c>
      <c r="G141" s="104">
        <v>28</v>
      </c>
      <c r="H141" s="105">
        <v>50000</v>
      </c>
      <c r="I141" s="105">
        <v>20</v>
      </c>
      <c r="V141" s="1" t="str">
        <f t="shared" si="6"/>
        <v>Mjollnir (Arme) : Le Temple Perdu (Legion) / Lv 85 / Base : 248</v>
      </c>
    </row>
    <row r="142" spans="1:22" ht="11.25">
      <c r="A142" s="116" t="s">
        <v>1442</v>
      </c>
      <c r="B142" s="133" t="s">
        <v>482</v>
      </c>
      <c r="C142" s="133">
        <v>80</v>
      </c>
      <c r="D142" s="133">
        <v>231</v>
      </c>
      <c r="E142" s="76" t="s">
        <v>1508</v>
      </c>
      <c r="F142" s="133" t="s">
        <v>488</v>
      </c>
      <c r="G142" s="133">
        <v>21</v>
      </c>
      <c r="H142" s="133">
        <v>60000</v>
      </c>
      <c r="I142" s="133"/>
      <c r="V142" s="1" t="str">
        <f t="shared" si="6"/>
        <v>Armure d'Arès (Armure) : Le Temple Perdu (Stage Fini) / Lv 80 / Base : 231</v>
      </c>
    </row>
    <row r="143" spans="1:20" ht="11.25">
      <c r="A143" s="28" t="s">
        <v>1690</v>
      </c>
      <c r="B143" s="104" t="s">
        <v>1669</v>
      </c>
      <c r="C143" s="104"/>
      <c r="D143" s="104"/>
      <c r="E143" s="78" t="s">
        <v>1658</v>
      </c>
      <c r="F143" s="104" t="s">
        <v>1692</v>
      </c>
      <c r="G143" s="104"/>
      <c r="H143" s="104"/>
      <c r="I143" s="104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</row>
    <row r="144" spans="1:20" ht="11.25">
      <c r="A144" s="28" t="s">
        <v>1691</v>
      </c>
      <c r="B144" s="104" t="s">
        <v>1669</v>
      </c>
      <c r="C144" s="104"/>
      <c r="D144" s="104"/>
      <c r="E144" s="78" t="s">
        <v>1658</v>
      </c>
      <c r="F144" s="104" t="s">
        <v>1693</v>
      </c>
      <c r="G144" s="104"/>
      <c r="H144" s="104"/>
      <c r="I144" s="104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</row>
    <row r="145" spans="1:20" ht="11.25">
      <c r="A145" s="28" t="s">
        <v>1694</v>
      </c>
      <c r="B145" s="104" t="s">
        <v>1669</v>
      </c>
      <c r="C145" s="104"/>
      <c r="D145" s="104"/>
      <c r="E145" s="78" t="s">
        <v>1658</v>
      </c>
      <c r="F145" s="104" t="s">
        <v>1698</v>
      </c>
      <c r="G145" s="104"/>
      <c r="H145" s="104"/>
      <c r="I145" s="104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</row>
    <row r="146" spans="1:20" ht="11.25">
      <c r="A146" s="28" t="s">
        <v>1695</v>
      </c>
      <c r="B146" s="104" t="s">
        <v>1669</v>
      </c>
      <c r="C146" s="104"/>
      <c r="D146" s="104"/>
      <c r="E146" s="78" t="s">
        <v>1658</v>
      </c>
      <c r="F146" s="104" t="s">
        <v>1699</v>
      </c>
      <c r="G146" s="104"/>
      <c r="H146" s="104"/>
      <c r="I146" s="104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</row>
    <row r="147" spans="1:20" ht="11.25">
      <c r="A147" s="28" t="s">
        <v>1696</v>
      </c>
      <c r="B147" s="104" t="s">
        <v>1669</v>
      </c>
      <c r="C147" s="104"/>
      <c r="D147" s="104"/>
      <c r="E147" s="78" t="s">
        <v>1658</v>
      </c>
      <c r="F147" s="104" t="s">
        <v>1700</v>
      </c>
      <c r="G147" s="104"/>
      <c r="H147" s="104"/>
      <c r="I147" s="104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</row>
    <row r="148" spans="1:20" ht="11.25">
      <c r="A148" s="28" t="s">
        <v>1697</v>
      </c>
      <c r="B148" s="104" t="s">
        <v>1669</v>
      </c>
      <c r="C148" s="104"/>
      <c r="D148" s="104"/>
      <c r="E148" s="78" t="s">
        <v>1658</v>
      </c>
      <c r="F148" s="104" t="s">
        <v>22</v>
      </c>
      <c r="G148" s="104"/>
      <c r="H148" s="104"/>
      <c r="I148" s="104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</row>
    <row r="149" spans="1:9" ht="11.25">
      <c r="A149" s="116" t="s">
        <v>1457</v>
      </c>
      <c r="B149" s="153" t="s">
        <v>25</v>
      </c>
      <c r="C149" s="153">
        <v>80</v>
      </c>
      <c r="D149" s="153">
        <v>63</v>
      </c>
      <c r="E149" s="118" t="s">
        <v>1658</v>
      </c>
      <c r="F149" s="153" t="s">
        <v>20</v>
      </c>
      <c r="G149" s="153">
        <v>13</v>
      </c>
      <c r="H149" s="153"/>
      <c r="I149" s="153"/>
    </row>
    <row r="150" spans="1:20" ht="11.25">
      <c r="A150" s="28" t="s">
        <v>1694</v>
      </c>
      <c r="B150" s="104" t="s">
        <v>1669</v>
      </c>
      <c r="C150" s="104"/>
      <c r="D150" s="104"/>
      <c r="E150" s="139" t="s">
        <v>1659</v>
      </c>
      <c r="F150" s="104" t="s">
        <v>1701</v>
      </c>
      <c r="G150" s="104"/>
      <c r="H150" s="104"/>
      <c r="I150" s="104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</row>
    <row r="151" spans="1:20" ht="11.25">
      <c r="A151" s="28" t="s">
        <v>1691</v>
      </c>
      <c r="B151" s="104" t="s">
        <v>1669</v>
      </c>
      <c r="C151" s="104"/>
      <c r="D151" s="104"/>
      <c r="E151" s="139" t="s">
        <v>1659</v>
      </c>
      <c r="F151" s="104" t="s">
        <v>1702</v>
      </c>
      <c r="G151" s="104"/>
      <c r="H151" s="104"/>
      <c r="I151" s="104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</row>
    <row r="152" spans="1:9" ht="11.25">
      <c r="A152" s="29" t="s">
        <v>1456</v>
      </c>
      <c r="B152" s="105" t="s">
        <v>28</v>
      </c>
      <c r="C152" s="105">
        <v>80</v>
      </c>
      <c r="D152" s="105">
        <v>234</v>
      </c>
      <c r="E152" s="86" t="s">
        <v>1659</v>
      </c>
      <c r="F152" s="105" t="s">
        <v>20</v>
      </c>
      <c r="G152" s="105">
        <v>24</v>
      </c>
      <c r="H152" s="105"/>
      <c r="I152" s="105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T16 T9 T36 T43:T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ATOS-ORIGIN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fr23121</dc:creator>
  <cp:keywords/>
  <dc:description/>
  <cp:lastModifiedBy>Ajira</cp:lastModifiedBy>
  <dcterms:created xsi:type="dcterms:W3CDTF">2011-01-13T16:09:33Z</dcterms:created>
  <dcterms:modified xsi:type="dcterms:W3CDTF">2012-03-06T18:07:18Z</dcterms:modified>
  <cp:category/>
  <cp:version/>
  <cp:contentType/>
  <cp:contentStatus/>
</cp:coreProperties>
</file>